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1385" windowWidth="14235" xWindow="7635" yWindow="2280"/>
  </bookViews>
  <sheets>
    <sheet name="Sheet1" sheetId="1" state="visible" r:id="rId1"/>
    <sheet name="Sheet2" sheetId="2" state="visible" r:id="rId2"/>
    <sheet name="Sheet3" sheetId="3" state="visible" r:id="rId3"/>
    <sheet name="口语" sheetId="4" state="visible" r:id="rId4"/>
  </sheets>
  <definedNames/>
  <calcPr calcId="181029" fullCalcOnLoad="1" iterate="1"/>
</workbook>
</file>

<file path=xl/styles.xml><?xml version="1.0" encoding="utf-8"?>
<styleSheet xmlns="http://schemas.openxmlformats.org/spreadsheetml/2006/main">
  <numFmts count="0"/>
  <fonts count="8">
    <font>
      <name val="等线"/>
      <family val="2"/>
      <color theme="1"/>
      <sz val="11"/>
      <scheme val="minor"/>
    </font>
    <font>
      <name val="Arial"/>
      <family val="2"/>
      <color rgb="FF333333"/>
      <sz val="12"/>
    </font>
    <font>
      <name val="微软雅黑"/>
      <charset val="134"/>
      <family val="2"/>
      <color theme="1"/>
      <sz val="12"/>
    </font>
    <font>
      <name val="微软雅黑"/>
      <charset val="134"/>
      <family val="2"/>
      <color rgb="FF333333"/>
      <sz val="12"/>
    </font>
    <font>
      <name val="等线"/>
      <family val="2"/>
      <color theme="10"/>
      <sz val="11"/>
      <u val="single"/>
      <scheme val="minor"/>
    </font>
    <font>
      <name val="等线"/>
      <family val="2"/>
      <color rgb="FFFF0000"/>
      <sz val="11"/>
      <scheme val="minor"/>
    </font>
    <font>
      <name val="Arial"/>
      <family val="2"/>
      <color rgb="FF222222"/>
      <sz val="10"/>
    </font>
    <font>
      <name val="等线"/>
      <charset val="134"/>
      <family val="3"/>
      <sz val="9"/>
      <scheme val="minor"/>
    </font>
  </fonts>
  <fills count="3">
    <fill>
      <patternFill/>
    </fill>
    <fill>
      <patternFill patternType="gray125"/>
    </fill>
    <fill>
      <patternFill patternType="solid">
        <fgColor theme="5" tint="0.5999938962981048"/>
        <bgColor indexed="64"/>
      </patternFill>
    </fill>
  </fills>
  <borders count="1">
    <border>
      <left/>
      <right/>
      <top/>
      <bottom/>
      <diagonal/>
    </border>
  </borders>
  <cellStyleXfs count="2">
    <xf borderId="0" fillId="0" fontId="0" numFmtId="0"/>
    <xf borderId="0" fillId="0" fontId="4" numFmtId="0"/>
  </cellStyleXfs>
  <cellXfs count="19">
    <xf borderId="0" fillId="0" fontId="0" numFmtId="0" pivotButton="0" quotePrefix="0" xfId="0"/>
    <xf applyAlignment="1" borderId="0" fillId="0" fontId="0" numFmtId="0" pivotButton="0" quotePrefix="0" xfId="0">
      <alignment horizontal="center" vertical="center"/>
    </xf>
    <xf applyAlignment="1" borderId="0" fillId="0" fontId="0" numFmtId="0" pivotButton="0" quotePrefix="1" xfId="0">
      <alignment horizontal="center" vertical="center"/>
    </xf>
    <xf borderId="0" fillId="2" fontId="2" numFmtId="0" pivotButton="0" quotePrefix="0" xfId="0"/>
    <xf applyAlignment="1" borderId="0" fillId="2" fontId="3" numFmtId="0" pivotButton="0" quotePrefix="0" xfId="0">
      <alignment horizontal="center" vertical="center"/>
    </xf>
    <xf applyAlignment="1" borderId="0" fillId="2" fontId="2" numFmtId="0" pivotButton="0" quotePrefix="0" xfId="0">
      <alignment horizontal="left" vertical="center"/>
    </xf>
    <xf applyAlignment="1" borderId="0" fillId="0" fontId="0" numFmtId="0" pivotButton="0" quotePrefix="0" xfId="0">
      <alignment horizontal="left" vertical="center"/>
    </xf>
    <xf applyAlignment="1" borderId="0" fillId="0" fontId="0" numFmtId="0" pivotButton="0" quotePrefix="0" xfId="0">
      <alignment horizontal="left" vertical="center" wrapText="1"/>
    </xf>
    <xf applyAlignment="1" borderId="0" fillId="0" fontId="1" numFmtId="0" pivotButton="0" quotePrefix="0" xfId="0">
      <alignment horizontal="center" vertical="center"/>
    </xf>
    <xf applyAlignment="1" borderId="0" fillId="2" fontId="2" numFmtId="0" pivotButton="0" quotePrefix="0" xfId="0">
      <alignment horizontal="left" vertical="center" wrapText="1"/>
    </xf>
    <xf applyAlignment="1" borderId="0" fillId="0" fontId="0" numFmtId="0" pivotButton="0" quotePrefix="1" xfId="0">
      <alignment horizontal="left" vertical="center"/>
    </xf>
    <xf applyAlignment="1" borderId="0" fillId="2" fontId="2" numFmtId="0" pivotButton="0" quotePrefix="0" xfId="0">
      <alignment horizontal="center" vertical="center"/>
    </xf>
    <xf applyAlignment="1" borderId="0" fillId="0" fontId="5" numFmtId="0" pivotButton="0" quotePrefix="0" xfId="0">
      <alignment horizontal="left" vertical="center"/>
    </xf>
    <xf borderId="0" fillId="0" fontId="6" numFmtId="0" pivotButton="0" quotePrefix="0" xfId="0"/>
    <xf applyAlignment="1" borderId="0" fillId="0" fontId="0" numFmtId="0" pivotButton="0" quotePrefix="0" xfId="0">
      <alignment horizontal="left" wrapText="1"/>
    </xf>
    <xf applyAlignment="1" borderId="0" fillId="0" fontId="0" numFmtId="0" pivotButton="0" quotePrefix="0" xfId="0">
      <alignment wrapText="1"/>
    </xf>
    <xf applyAlignment="1" borderId="0" fillId="0" fontId="0" numFmtId="0" pivotButton="0" quotePrefix="0" xfId="0">
      <alignment vertical="center"/>
    </xf>
    <xf applyAlignment="1" borderId="0" fillId="0" fontId="0" numFmtId="0" pivotButton="0" quotePrefix="0" xfId="0">
      <alignment vertical="center" wrapText="1"/>
    </xf>
    <xf borderId="0" fillId="0" fontId="4" numFmtId="0" pivotButton="0" quotePrefix="0" xfId="1"/>
  </cellXfs>
  <cellStyles count="2">
    <cellStyle builtinId="0" name="常规" xfId="0"/>
    <cellStyle builtinId="8" name="超链接" xfId="1"/>
  </cellStyles>
  <dxfs count="9">
    <dxf>
      <font>
        <color rgb="FF9C0006"/>
      </font>
      <fill>
        <patternFill>
          <bgColor rgb="FFFFC7CE"/>
        </patternFill>
      </fill>
    </dxf>
    <dxf>
      <font>
        <color rgb="FF9C0006"/>
      </font>
      <fill>
        <patternFill>
          <bgColor rgb="FFFFC7CE"/>
        </patternFill>
      </fill>
    </dxf>
    <dxf>
      <font>
        <color rgb="FFFF0000"/>
      </font>
      <fill>
        <patternFill>
          <bgColor rgb="FFFFAFAF"/>
        </patternFill>
      </fill>
    </dxf>
    <dxf>
      <font>
        <color theme="9" tint="-0.249946592608417"/>
      </font>
      <fill>
        <patternFill>
          <bgColor rgb="FFC0E399"/>
        </patternFill>
      </fill>
    </dxf>
    <dxf>
      <font>
        <color theme="3" tint="-0.249946592608417"/>
      </font>
      <fill>
        <patternFill>
          <bgColor theme="3" tint="0.5999633777886288"/>
        </patternFill>
      </fill>
    </dxf>
    <dxf>
      <font>
        <b val="1"/>
        <color rgb="FF20C1BD"/>
      </font>
      <fill>
        <patternFill>
          <bgColor rgb="FFFBFFA8"/>
        </patternFill>
      </fill>
    </dxf>
    <dxf>
      <font>
        <b val="1"/>
        <color rgb="FFDF760B"/>
      </font>
      <fill>
        <patternFill>
          <bgColor rgb="FF00FFFF"/>
        </patternFill>
      </fill>
    </dxf>
    <dxf>
      <font>
        <b val="1"/>
        <color rgb="FFC75080"/>
      </font>
      <fill>
        <patternFill>
          <bgColor rgb="FF00FF00"/>
        </patternFill>
      </fill>
    </dxf>
    <dxf>
      <font>
        <color rgb="FF9C0006"/>
      </font>
      <fill>
        <patternFill>
          <bgColor rgb="FFFFC7CE"/>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P3967"/>
  <sheetViews>
    <sheetView tabSelected="1" workbookViewId="0" zoomScaleNormal="100">
      <pane activePane="bottomLeft" state="frozen" topLeftCell="A3943" ySplit="1"/>
      <selection activeCell="B3963" pane="bottomLeft" sqref="B3963"/>
    </sheetView>
  </sheetViews>
  <sheetFormatPr baseColWidth="8" defaultRowHeight="14.25"/>
  <cols>
    <col customWidth="1" max="1" min="1" style="1" width="23.75"/>
    <col customWidth="1" max="2" min="2" style="1" width="22.25"/>
    <col customWidth="1" max="3" min="3" style="7" width="38.875"/>
    <col customWidth="1" max="5" min="4" style="6" width="17.625"/>
    <col customWidth="1" max="6" min="6" style="7" width="93.875"/>
    <col customWidth="1" max="7" min="7" width="4.625"/>
    <col customWidth="1" max="8" min="8" width="4.75"/>
    <col customWidth="1" max="9" min="9" width="4.25"/>
    <col customWidth="1" max="11" min="10" width="9"/>
  </cols>
  <sheetData>
    <row customFormat="1" customHeight="1" ht="17.25" r="1" s="3">
      <c r="A1" s="11" t="inlineStr">
        <is>
          <t>ipu-important/practice/unnecessary</t>
        </is>
      </c>
      <c r="B1" s="4" t="inlineStr">
        <is>
          <t>单词</t>
        </is>
      </c>
      <c r="C1" s="9" t="inlineStr">
        <is>
          <t>释义paraphrase</t>
        </is>
      </c>
      <c r="D1" s="5" t="inlineStr">
        <is>
          <t>记忆方法</t>
        </is>
      </c>
      <c r="E1" s="5" t="inlineStr">
        <is>
          <t>词组/备注</t>
        </is>
      </c>
      <c r="F1" s="9" t="inlineStr">
        <is>
          <t>例句</t>
        </is>
      </c>
      <c r="G1" s="3" t="inlineStr">
        <is>
          <t>英音</t>
        </is>
      </c>
      <c r="H1" s="3" t="inlineStr">
        <is>
          <t>美音</t>
        </is>
      </c>
      <c r="I1" s="3" t="inlineStr">
        <is>
          <t>有道</t>
        </is>
      </c>
      <c r="K1" s="3" t="inlineStr">
        <is>
          <t>正确率</t>
        </is>
      </c>
      <c r="L1" s="3" t="inlineStr">
        <is>
          <t>正确次数</t>
        </is>
      </c>
      <c r="M1" s="3" t="inlineStr">
        <is>
          <t>错误次数</t>
        </is>
      </c>
      <c r="O1" s="3" t="inlineStr">
        <is>
          <t>最后保存:</t>
        </is>
      </c>
      <c r="P1" s="3">
        <f>IF(B21="","",IF(A21="",TEXT(NOW(),"yyyy-mm-dd hh:mm:ss"),A21))</f>
        <v/>
      </c>
    </row>
    <row r="2">
      <c r="B2" s="1" t="inlineStr">
        <is>
          <t>abashed</t>
        </is>
      </c>
      <c r="C2" s="7">
        <f>"adj. 不安的；窘迫的；尴尬的"</f>
        <v/>
      </c>
      <c r="G2" s="18">
        <f>HYPERLINK("D:\python\英语学习\voices\"&amp;B2&amp;"_1.mp3","BrE")</f>
        <v/>
      </c>
      <c r="H2" s="18">
        <f>HYPERLINK("D:\python\英语学习\voices\"&amp;B2&amp;"_2.mp3","AmE")</f>
        <v/>
      </c>
      <c r="I2" s="18">
        <f>HYPERLINK("http://dict.youdao.com/w/"&amp;B2,"有道")</f>
        <v/>
      </c>
    </row>
    <row r="3">
      <c r="B3" s="1" t="inlineStr">
        <is>
          <t>abdomen</t>
        </is>
      </c>
      <c r="C3" s="7">
        <f>"n. 腹部；下腹；腹腔"</f>
        <v/>
      </c>
      <c r="G3" s="18">
        <f>HYPERLINK("D:\python\英语学习\voices\"&amp;B3&amp;"_1.mp3","BrE")</f>
        <v/>
      </c>
      <c r="H3" s="18">
        <f>HYPERLINK("D:\python\英语学习\voices\"&amp;B3&amp;"_2.mp3","AmE")</f>
        <v/>
      </c>
      <c r="I3" s="18" t="n"/>
    </row>
    <row customHeight="1" ht="28.5" r="4">
      <c r="B4" s="1" t="inlineStr">
        <is>
          <t>abide</t>
        </is>
      </c>
      <c r="C4" s="7">
        <f>"vt. 忍受，容忍；停留；遵守"&amp;CHAR(10)&amp;"vi. 持续；忍受；停留"</f>
        <v/>
      </c>
      <c r="G4" s="18">
        <f>HYPERLINK("D:\python\英语学习\voices\"&amp;B4&amp;"_1.mp3","BrE")</f>
        <v/>
      </c>
      <c r="H4" s="18">
        <f>HYPERLINK("D:\python\英语学习\voices\"&amp;B4&amp;"_2.mp3","AmE")</f>
        <v/>
      </c>
      <c r="I4" s="18" t="n"/>
    </row>
    <row r="5">
      <c r="B5" s="1" t="inlineStr">
        <is>
          <t>abnormality</t>
        </is>
      </c>
      <c r="C5" s="7">
        <f>"n. 异常；畸形，变态"</f>
        <v/>
      </c>
      <c r="G5" s="18">
        <f>HYPERLINK("D:\python\英语学习\voices\"&amp;B5&amp;"_1.mp3","BrE")</f>
        <v/>
      </c>
      <c r="H5" s="18">
        <f>HYPERLINK("D:\python\英语学习\voices\"&amp;B5&amp;"_2.mp3","AmE")</f>
        <v/>
      </c>
      <c r="I5" s="18">
        <f>HYPERLINK("http://dict.youdao.com/w/"&amp;B5,"有道")</f>
        <v/>
      </c>
    </row>
    <row r="6">
      <c r="B6" s="1" t="inlineStr">
        <is>
          <t>abolition</t>
        </is>
      </c>
      <c r="C6" s="7">
        <f>"n. 废除；废止"</f>
        <v/>
      </c>
      <c r="G6" s="18">
        <f>HYPERLINK("D:\python\英语学习\voices\"&amp;B6&amp;"_1.mp3","BrE")</f>
        <v/>
      </c>
      <c r="H6" s="18">
        <f>HYPERLINK("D:\python\英语学习\voices\"&amp;B6&amp;"_2.mp3","AmE")</f>
        <v/>
      </c>
      <c r="I6" s="18">
        <f>HYPERLINK("http://dict.youdao.com/w/"&amp;B6,"有道")</f>
        <v/>
      </c>
    </row>
    <row r="7">
      <c r="B7" s="1" t="inlineStr">
        <is>
          <t>abound</t>
        </is>
      </c>
      <c r="C7" s="7">
        <f>"vi. 富于；充满"</f>
        <v/>
      </c>
      <c r="E7" s="6" t="inlineStr">
        <is>
          <t>abundant 没有o</t>
        </is>
      </c>
      <c r="G7" s="18">
        <f>HYPERLINK("D:\python\英语学习\voices\"&amp;B7&amp;"_1.mp3","BrE")</f>
        <v/>
      </c>
      <c r="H7" s="18">
        <f>HYPERLINK("D:\python\英语学习\voices\"&amp;B7&amp;"_2.mp3","AmE")</f>
        <v/>
      </c>
      <c r="I7" s="18">
        <f>HYPERLINK("http://dict.youdao.com/w/"&amp;B7,"有道")</f>
        <v/>
      </c>
    </row>
    <row r="8">
      <c r="B8" s="1" t="inlineStr">
        <is>
          <t>abrupt</t>
        </is>
      </c>
      <c r="C8" s="7">
        <f>"adj. 生硬的；突然的；唐突的；陡峭的"</f>
        <v/>
      </c>
      <c r="G8" s="18">
        <f>HYPERLINK("D:\python\英语学习\voices\"&amp;B8&amp;"_1.mp3","BrE")</f>
        <v/>
      </c>
      <c r="H8" s="18">
        <f>HYPERLINK("D:\python\英语学习\voices\"&amp;B8&amp;"_2.mp3","AmE")</f>
        <v/>
      </c>
      <c r="I8" s="18">
        <f>HYPERLINK("http://dict.youdao.com/w/"&amp;B8,"有道")</f>
        <v/>
      </c>
    </row>
    <row r="9">
      <c r="B9" s="1" t="inlineStr">
        <is>
          <t>absorption</t>
        </is>
      </c>
      <c r="C9" s="7">
        <f>"n. 吸收；全神贯注，专心致志"</f>
        <v/>
      </c>
      <c r="G9" s="18">
        <f>HYPERLINK("D:\python\英语学习\voices\"&amp;B9&amp;"_1.mp3","BrE")</f>
        <v/>
      </c>
      <c r="H9" s="18">
        <f>HYPERLINK("D:\python\英语学习\voices\"&amp;B9&amp;"_2.mp3","AmE")</f>
        <v/>
      </c>
      <c r="I9" s="18">
        <f>HYPERLINK("http://dict.youdao.com/w/"&amp;B9,"有道")</f>
        <v/>
      </c>
    </row>
    <row r="10">
      <c r="B10" s="1" t="inlineStr">
        <is>
          <t>abundance</t>
        </is>
      </c>
      <c r="C10" s="7">
        <f>"n. 充裕，丰富"</f>
        <v/>
      </c>
      <c r="E10" s="6" t="inlineStr">
        <is>
          <t>注意拼写</t>
        </is>
      </c>
      <c r="G10" s="18">
        <f>HYPERLINK("D:\python\英语学习\voices\"&amp;B10&amp;"_1.mp3","BrE")</f>
        <v/>
      </c>
      <c r="H10" s="18">
        <f>HYPERLINK("D:\python\英语学习\voices\"&amp;B10&amp;"_2.mp3","AmE")</f>
        <v/>
      </c>
      <c r="I10" s="18">
        <f>HYPERLINK("http://dict.youdao.com/w/"&amp;B10,"有道")</f>
        <v/>
      </c>
    </row>
    <row r="11">
      <c r="B11" s="1" t="inlineStr">
        <is>
          <t>acceptable</t>
        </is>
      </c>
      <c r="C11" s="7">
        <f>"adj. 可接受的；合意的；可忍受的"</f>
        <v/>
      </c>
      <c r="G11" s="18">
        <f>HYPERLINK("D:\python\英语学习\voices\"&amp;B11&amp;"_1.mp3","BrE")</f>
        <v/>
      </c>
      <c r="H11" s="18">
        <f>HYPERLINK("D:\python\英语学习\voices\"&amp;B11&amp;"_2.mp3","AmE")</f>
        <v/>
      </c>
      <c r="I11" s="18">
        <f>HYPERLINK("http://dict.youdao.com/w/"&amp;B11,"有道")</f>
        <v/>
      </c>
    </row>
    <row customHeight="1" ht="28.5" r="12">
      <c r="B12" s="1" t="inlineStr">
        <is>
          <t>accessory</t>
        </is>
      </c>
      <c r="C12" s="7">
        <f>"n. 配件；附件；[法] 从犯"&amp;CHAR(10)&amp;"adj. 副的；同谋的；附属的"</f>
        <v/>
      </c>
      <c r="G12" s="18">
        <f>HYPERLINK("D:\python\英语学习\voices\"&amp;B12&amp;"_1.mp3","BrE")</f>
        <v/>
      </c>
      <c r="H12" s="18">
        <f>HYPERLINK("D:\python\英语学习\voices\"&amp;B12&amp;"_2.mp3","AmE")</f>
        <v/>
      </c>
      <c r="I12" s="18">
        <f>HYPERLINK("http://dict.youdao.com/w/"&amp;B12,"有道")</f>
        <v/>
      </c>
    </row>
    <row customHeight="1" ht="42.75" r="13">
      <c r="A13" s="1" t="inlineStr">
        <is>
          <t>important</t>
        </is>
      </c>
      <c r="B13" s="1" t="inlineStr">
        <is>
          <t>acquaint</t>
        </is>
      </c>
      <c r="C13" s="7">
        <f>"vt. 使熟悉；使认识"</f>
        <v/>
      </c>
      <c r="E13" s="6" t="inlineStr">
        <is>
          <t>高级词，秒杀meet, know...</t>
        </is>
      </c>
      <c r="G13" s="18">
        <f>HYPERLINK("D:\python\英语学习\voices\"&amp;B13&amp;"_1.mp3","BrE")</f>
        <v/>
      </c>
      <c r="H13" s="18">
        <f>HYPERLINK("D:\python\英语学习\voices\"&amp;B13&amp;"_2.mp3","AmE")</f>
        <v/>
      </c>
      <c r="I13" s="18">
        <f>HYPERLINK("http://dict.youdao.com/w/"&amp;B13,"有道")</f>
        <v/>
      </c>
    </row>
    <row customHeight="1" ht="42.75" r="14">
      <c r="B14" s="1" t="inlineStr">
        <is>
          <t>accord</t>
        </is>
      </c>
      <c r="C14" s="7">
        <f>"n. 符合；一致；协议；自愿"&amp;CHAR(10)&amp;"vt. 使一致；给予"&amp;CHAR(10)&amp;"vi. 符合；一致"</f>
        <v/>
      </c>
      <c r="G14" s="18">
        <f>HYPERLINK("D:\python\英语学习\voices\"&amp;B14&amp;"_1.mp3","BrE")</f>
        <v/>
      </c>
      <c r="H14" s="18">
        <f>HYPERLINK("D:\python\英语学习\voices\"&amp;B14&amp;"_2.mp3","AmE")</f>
        <v/>
      </c>
      <c r="I14" s="18">
        <f>HYPERLINK("http://dict.youdao.com/w/"&amp;B14,"有道")</f>
        <v/>
      </c>
    </row>
    <row r="15">
      <c r="B15" s="1" t="inlineStr">
        <is>
          <t>accordance</t>
        </is>
      </c>
      <c r="C15" s="7">
        <f>"n. 一致；和谐"</f>
        <v/>
      </c>
      <c r="G15" s="18">
        <f>HYPERLINK("D:\python\英语学习\voices\"&amp;B15&amp;"_1.mp3","BrE")</f>
        <v/>
      </c>
      <c r="H15" s="18">
        <f>HYPERLINK("D:\python\英语学习\voices\"&amp;B15&amp;"_2.mp3","AmE")</f>
        <v/>
      </c>
      <c r="I15" s="18">
        <f>HYPERLINK("http://dict.youdao.com/w/"&amp;B15,"有道")</f>
        <v/>
      </c>
    </row>
    <row customHeight="1" ht="28.5" r="16">
      <c r="B16" s="1" t="inlineStr">
        <is>
          <t>accrue</t>
        </is>
      </c>
      <c r="C16" s="7">
        <f>"vi. 产生；自然增长或利益增加"&amp;CHAR(10)&amp;"vt. 获得；积累"</f>
        <v/>
      </c>
      <c r="G16" s="18">
        <f>HYPERLINK("D:\python\英语学习\voices\"&amp;B16&amp;"_1.mp3","BrE")</f>
        <v/>
      </c>
      <c r="H16" s="18">
        <f>HYPERLINK("D:\python\英语学习\voices\"&amp;B16&amp;"_2.mp3","AmE")</f>
        <v/>
      </c>
      <c r="I16" s="18">
        <f>HYPERLINK("http://dict.youdao.com/w/"&amp;B16,"有道")</f>
        <v/>
      </c>
    </row>
    <row customHeight="1" ht="28.5" r="17">
      <c r="B17" s="1" t="inlineStr">
        <is>
          <t>accustomed</t>
        </is>
      </c>
      <c r="C17" s="7">
        <f>"adj. 习惯的；通常的；独有的"&amp;CHAR(10)&amp;"v. 使习惯于（accustom的过去分词）"</f>
        <v/>
      </c>
      <c r="G17" s="18">
        <f>HYPERLINK("D:\python\英语学习\voices\"&amp;B17&amp;"_1.mp3","BrE")</f>
        <v/>
      </c>
      <c r="H17" s="18">
        <f>HYPERLINK("D:\python\英语学习\voices\"&amp;B17&amp;"_2.mp3","AmE")</f>
        <v/>
      </c>
      <c r="I17" s="18">
        <f>HYPERLINK("http://dict.youdao.com/w/"&amp;B17,"有道")</f>
        <v/>
      </c>
    </row>
    <row r="18">
      <c r="B18" s="1" t="inlineStr">
        <is>
          <t>acknowledge</t>
        </is>
      </c>
      <c r="C18" s="7">
        <f>"vt. 承认；答谢；报偿；告知已收到"</f>
        <v/>
      </c>
      <c r="G18" s="18">
        <f>HYPERLINK("D:\python\英语学习\voices\"&amp;B18&amp;"_1.mp3","BrE")</f>
        <v/>
      </c>
      <c r="H18" s="18">
        <f>HYPERLINK("D:\python\英语学习\voices\"&amp;B18&amp;"_2.mp3","AmE")</f>
        <v/>
      </c>
      <c r="I18" s="18">
        <f>HYPERLINK("http://dict.youdao.com/w/"&amp;B18,"有道")</f>
        <v/>
      </c>
    </row>
    <row customHeight="1" ht="42.75" r="19">
      <c r="B19" s="1" t="inlineStr">
        <is>
          <t>acoustic</t>
        </is>
      </c>
      <c r="C19" s="7">
        <f>"adj. 声学的；音响的；听觉的"&amp;CHAR(10)&amp;"n. 原声乐器；不用电传音的乐器"&amp;CHAR(10)&amp;"n. (Acoustic)人名；(法)阿库斯蒂克"</f>
        <v/>
      </c>
      <c r="G19" s="18">
        <f>HYPERLINK("D:\python\英语学习\voices\"&amp;B19&amp;"_1.mp3","BrE")</f>
        <v/>
      </c>
      <c r="H19" s="18">
        <f>HYPERLINK("D:\python\英语学习\voices\"&amp;B19&amp;"_2.mp3","AmE")</f>
        <v/>
      </c>
      <c r="I19" s="18">
        <f>HYPERLINK("http://dict.youdao.com/w/"&amp;B19,"有道")</f>
        <v/>
      </c>
    </row>
    <row r="20">
      <c r="A20" s="1" t="inlineStr">
        <is>
          <t>important</t>
        </is>
      </c>
      <c r="B20" s="1" t="inlineStr">
        <is>
          <t>admittedly</t>
        </is>
      </c>
      <c r="C20" s="7">
        <f>"adv. 公认地；无可否认地；明白地"</f>
        <v/>
      </c>
      <c r="G20" s="18">
        <f>HYPERLINK("D:\python\英语学习\voices\"&amp;B20&amp;"_1.mp3","BrE")</f>
        <v/>
      </c>
      <c r="H20" s="18">
        <f>HYPERLINK("D:\python\英语学习\voices\"&amp;B20&amp;"_2.mp3","AmE")</f>
        <v/>
      </c>
      <c r="I20" s="18">
        <f>HYPERLINK("http://dict.youdao.com/w/"&amp;B20,"有道")</f>
        <v/>
      </c>
    </row>
    <row r="21">
      <c r="B21" s="1" t="inlineStr">
        <is>
          <t>acquaintance</t>
        </is>
      </c>
      <c r="C21" s="7">
        <f>"n. 熟人；相识；了解；知道"</f>
        <v/>
      </c>
      <c r="E21" s="6" t="inlineStr">
        <is>
          <t>注意拼写</t>
        </is>
      </c>
      <c r="G21" s="18">
        <f>HYPERLINK("D:\python\英语学习\voices\"&amp;B21&amp;"_1.mp3","BrE")</f>
        <v/>
      </c>
      <c r="H21" s="18">
        <f>HYPERLINK("D:\python\英语学习\voices\"&amp;B21&amp;"_2.mp3","AmE")</f>
        <v/>
      </c>
      <c r="I21" s="18">
        <f>HYPERLINK("http://dict.youdao.com/w/"&amp;B21,"有道")</f>
        <v/>
      </c>
    </row>
    <row customHeight="1" ht="28.5" r="22">
      <c r="B22" s="1" t="inlineStr">
        <is>
          <t>acrobat</t>
        </is>
      </c>
      <c r="C22" s="7">
        <f>"n. 杂技演员，特技演员；随机应变者；翻云覆雨者，善变者"</f>
        <v/>
      </c>
      <c r="G22" s="18">
        <f>HYPERLINK("D:\python\英语学习\voices\"&amp;B22&amp;"_1.mp3","BrE")</f>
        <v/>
      </c>
      <c r="H22" s="18">
        <f>HYPERLINK("D:\python\英语学习\voices\"&amp;B22&amp;"_2.mp3","AmE")</f>
        <v/>
      </c>
      <c r="I22" s="18">
        <f>HYPERLINK("http://dict.youdao.com/w/"&amp;B22,"有道")</f>
        <v/>
      </c>
    </row>
    <row r="23">
      <c r="B23" s="1" t="inlineStr">
        <is>
          <t>adage</t>
        </is>
      </c>
      <c r="C23" s="7">
        <f>"n. 格言，谚语；箴言"</f>
        <v/>
      </c>
      <c r="G23" s="18">
        <f>HYPERLINK("D:\python\英语学习\voices\"&amp;B23&amp;"_1.mp3","BrE")</f>
        <v/>
      </c>
      <c r="H23" s="18">
        <f>HYPERLINK("D:\python\英语学习\voices\"&amp;B23&amp;"_2.mp3","AmE")</f>
        <v/>
      </c>
      <c r="I23" s="18">
        <f>HYPERLINK("http://dict.youdao.com/w/"&amp;B23,"有道")</f>
        <v/>
      </c>
    </row>
    <row customHeight="1" ht="28.5" r="24">
      <c r="B24" s="1" t="inlineStr">
        <is>
          <t>adapt</t>
        </is>
      </c>
      <c r="C24" s="7">
        <f>"vt. 使适应；改编"&amp;CHAR(10)&amp;"vi. 适应"</f>
        <v/>
      </c>
      <c r="G24" s="18">
        <f>HYPERLINK("D:\python\英语学习\voices\"&amp;B24&amp;"_1.mp3","BrE")</f>
        <v/>
      </c>
      <c r="H24" s="18">
        <f>HYPERLINK("D:\python\英语学习\voices\"&amp;B24&amp;"_2.mp3","AmE")</f>
        <v/>
      </c>
      <c r="I24" s="18">
        <f>HYPERLINK("http://dict.youdao.com/w/"&amp;B24,"有道")</f>
        <v/>
      </c>
    </row>
    <row r="25">
      <c r="B25" s="1" t="inlineStr">
        <is>
          <t>adaptive</t>
        </is>
      </c>
      <c r="C25" s="7">
        <f>"adj. 适应的，适合的"</f>
        <v/>
      </c>
      <c r="G25" s="18">
        <f>HYPERLINK("D:\python\英语学习\voices\"&amp;B25&amp;"_1.mp3","BrE")</f>
        <v/>
      </c>
      <c r="H25" s="18">
        <f>HYPERLINK("D:\python\英语学习\voices\"&amp;B25&amp;"_2.mp3","AmE")</f>
        <v/>
      </c>
      <c r="I25" s="18">
        <f>HYPERLINK("http://dict.youdao.com/w/"&amp;B25,"有道")</f>
        <v/>
      </c>
    </row>
    <row customHeight="1" ht="28.5" r="26">
      <c r="B26" s="1" t="inlineStr">
        <is>
          <t>additive</t>
        </is>
      </c>
      <c r="C26" s="7">
        <f>"n. 添加剂，添加物"&amp;CHAR(10)&amp;"adj. 附加的；[数] 加法的"</f>
        <v/>
      </c>
      <c r="G26" s="18">
        <f>HYPERLINK("D:\python\英语学习\voices\"&amp;B26&amp;"_1.mp3","BrE")</f>
        <v/>
      </c>
      <c r="H26" s="18">
        <f>HYPERLINK("D:\python\英语学习\voices\"&amp;B26&amp;"_2.mp3","AmE")</f>
        <v/>
      </c>
      <c r="I26" s="18">
        <f>HYPERLINK("http://dict.youdao.com/w/"&amp;B26,"有道")</f>
        <v/>
      </c>
    </row>
    <row customHeight="1" ht="28.5" r="27">
      <c r="B27" s="1" t="inlineStr">
        <is>
          <t>adhere</t>
        </is>
      </c>
      <c r="C27" s="7">
        <f>"vi. 坚持；依附；粘着；追随"&amp;CHAR(10)&amp;"vt. 使粘附"</f>
        <v/>
      </c>
      <c r="G27" s="18">
        <f>HYPERLINK("D:\python\英语学习\voices\"&amp;B27&amp;"_1.mp3","BrE")</f>
        <v/>
      </c>
      <c r="H27" s="18">
        <f>HYPERLINK("D:\python\英语学习\voices\"&amp;B27&amp;"_2.mp3","AmE")</f>
        <v/>
      </c>
      <c r="I27" s="18">
        <f>HYPERLINK("http://dict.youdao.com/w/"&amp;B27,"有道")</f>
        <v/>
      </c>
    </row>
    <row r="28">
      <c r="B28" s="1" t="inlineStr">
        <is>
          <t>adjacent</t>
        </is>
      </c>
      <c r="C28" s="7">
        <f>"adj. 邻近的，毗连的"</f>
        <v/>
      </c>
      <c r="G28" s="18">
        <f>HYPERLINK("D:\python\英语学习\voices\"&amp;B28&amp;"_1.mp3","BrE")</f>
        <v/>
      </c>
      <c r="H28" s="18">
        <f>HYPERLINK("D:\python\英语学习\voices\"&amp;B28&amp;"_2.mp3","AmE")</f>
        <v/>
      </c>
      <c r="I28" s="18">
        <f>HYPERLINK("http://dict.youdao.com/w/"&amp;B28,"有道")</f>
        <v/>
      </c>
    </row>
    <row customHeight="1" ht="28.5" r="29">
      <c r="B29" s="1" t="inlineStr">
        <is>
          <t>adjective</t>
        </is>
      </c>
      <c r="C29" s="7">
        <f>"adj. 形容词的；从属的"&amp;CHAR(10)&amp;"n. 形容词"</f>
        <v/>
      </c>
      <c r="G29" s="18">
        <f>HYPERLINK("D:\python\英语学习\voices\"&amp;B29&amp;"_1.mp3","BrE")</f>
        <v/>
      </c>
      <c r="H29" s="18">
        <f>HYPERLINK("D:\python\英语学习\voices\"&amp;B29&amp;"_2.mp3","AmE")</f>
        <v/>
      </c>
      <c r="I29" s="18">
        <f>HYPERLINK("http://dict.youdao.com/w/"&amp;B29,"有道")</f>
        <v/>
      </c>
    </row>
    <row customHeight="1" ht="28.5" r="30">
      <c r="B30" s="1" t="inlineStr">
        <is>
          <t>adjoin</t>
        </is>
      </c>
      <c r="C30" s="7">
        <f>"vi. 毗连，邻接"&amp;CHAR(10)&amp;"vt. 毗连，邻接"</f>
        <v/>
      </c>
      <c r="G30" s="18">
        <f>HYPERLINK("D:\python\英语学习\voices\"&amp;B30&amp;"_1.mp3","BrE")</f>
        <v/>
      </c>
      <c r="H30" s="18">
        <f>HYPERLINK("D:\python\英语学习\voices\"&amp;B30&amp;"_2.mp3","AmE")</f>
        <v/>
      </c>
      <c r="I30" s="18">
        <f>HYPERLINK("http://dict.youdao.com/w/"&amp;B30,"有道")</f>
        <v/>
      </c>
    </row>
    <row r="31">
      <c r="B31" s="1" t="inlineStr">
        <is>
          <t>admission</t>
        </is>
      </c>
      <c r="C31" s="7">
        <f>"n. 承认；入场费；进入许可；坦白；录用"</f>
        <v/>
      </c>
      <c r="G31" s="18">
        <f>HYPERLINK("D:\python\英语学习\voices\"&amp;B31&amp;"_1.mp3","BrE")</f>
        <v/>
      </c>
      <c r="H31" s="18">
        <f>HYPERLINK("D:\python\英语学习\voices\"&amp;B31&amp;"_2.mp3","AmE")</f>
        <v/>
      </c>
      <c r="I31" s="18">
        <f>HYPERLINK("http://dict.youdao.com/w/"&amp;B31,"有道")</f>
        <v/>
      </c>
    </row>
    <row r="32">
      <c r="A32" s="1" t="inlineStr">
        <is>
          <t>important</t>
        </is>
      </c>
      <c r="B32" s="1" t="inlineStr">
        <is>
          <t>allocation</t>
        </is>
      </c>
      <c r="C32" s="7">
        <f>"n. 分配，配置；安置"</f>
        <v/>
      </c>
      <c r="G32" s="18">
        <f>HYPERLINK("D:\python\英语学习\voices\"&amp;B32&amp;"_1.mp3","BrE")</f>
        <v/>
      </c>
      <c r="H32" s="18">
        <f>HYPERLINK("D:\python\英语学习\voices\"&amp;B32&amp;"_2.mp3","AmE")</f>
        <v/>
      </c>
      <c r="I32" s="18">
        <f>HYPERLINK("http://dict.youdao.com/w/"&amp;B32,"有道")</f>
        <v/>
      </c>
    </row>
    <row customHeight="1" ht="28.5" r="33">
      <c r="B33" s="1" t="inlineStr">
        <is>
          <t>adopt</t>
        </is>
      </c>
      <c r="C33" s="7">
        <f>"vt. 采取；接受；收养；正式通过"&amp;CHAR(10)&amp;"vi. 采取；过继"</f>
        <v/>
      </c>
      <c r="G33" s="18">
        <f>HYPERLINK("D:\python\英语学习\voices\"&amp;B33&amp;"_1.mp3","BrE")</f>
        <v/>
      </c>
      <c r="H33" s="18">
        <f>HYPERLINK("D:\python\英语学习\voices\"&amp;B33&amp;"_2.mp3","AmE")</f>
        <v/>
      </c>
      <c r="I33" s="18">
        <f>HYPERLINK("http://dict.youdao.com/w/"&amp;B33,"有道")</f>
        <v/>
      </c>
    </row>
    <row r="34">
      <c r="B34" s="1" t="inlineStr">
        <is>
          <t>adoption</t>
        </is>
      </c>
      <c r="C34" s="7">
        <f>"n. 采用；收养；接受"</f>
        <v/>
      </c>
      <c r="G34" s="18">
        <f>HYPERLINK("D:\python\英语学习\voices\"&amp;B34&amp;"_1.mp3","BrE")</f>
        <v/>
      </c>
      <c r="H34" s="18">
        <f>HYPERLINK("D:\python\英语学习\voices\"&amp;B34&amp;"_2.mp3","AmE")</f>
        <v/>
      </c>
      <c r="I34" s="18">
        <f>HYPERLINK("http://dict.youdao.com/w/"&amp;B34,"有道")</f>
        <v/>
      </c>
    </row>
    <row customHeight="1" ht="28.5" r="35">
      <c r="A35" s="1" t="inlineStr">
        <is>
          <t>important</t>
        </is>
      </c>
      <c r="B35" s="1" t="inlineStr">
        <is>
          <t>amend</t>
        </is>
      </c>
      <c r="C35" s="7">
        <f>"vt. 修改；改善，改进"&amp;CHAR(10)&amp;"vi. 改正，改善；改过自新"&amp;CHAR(10)&amp;"n. (Amend)人名；(德、英)阿门德"</f>
        <v/>
      </c>
      <c r="E35" s="6" t="inlineStr">
        <is>
          <t>make amends for 补偿；赔偿…损失</t>
        </is>
      </c>
      <c r="G35" s="18">
        <f>HYPERLINK("D:\python\英语学习\voices\"&amp;B35&amp;"_1.mp3","BrE")</f>
        <v/>
      </c>
      <c r="H35" s="18">
        <f>HYPERLINK("D:\python\英语学习\voices\"&amp;B35&amp;"_2.mp3","AmE")</f>
        <v/>
      </c>
      <c r="I35" s="18">
        <f>HYPERLINK("http://dict.youdao.com/w/"&amp;B35,"有道")</f>
        <v/>
      </c>
    </row>
    <row r="36">
      <c r="B36" s="1" t="inlineStr">
        <is>
          <t>advantageous</t>
        </is>
      </c>
      <c r="C36" s="7">
        <f>"adj. 有利的；有益的"</f>
        <v/>
      </c>
      <c r="G36" s="18">
        <f>HYPERLINK("D:\python\英语学习\voices\"&amp;B36&amp;"_1.mp3","BrE")</f>
        <v/>
      </c>
      <c r="H36" s="18">
        <f>HYPERLINK("D:\python\英语学习\voices\"&amp;B36&amp;"_2.mp3","AmE")</f>
        <v/>
      </c>
      <c r="I36" s="18">
        <f>HYPERLINK("http://dict.youdao.com/w/"&amp;B36,"有道")</f>
        <v/>
      </c>
    </row>
    <row r="37">
      <c r="B37" s="1" t="inlineStr">
        <is>
          <t>advent</t>
        </is>
      </c>
      <c r="C37" s="7">
        <f>"n. 到来；出现；基督降临；基督降临节"</f>
        <v/>
      </c>
      <c r="G37" s="18">
        <f>HYPERLINK("D:\python\英语学习\voices\"&amp;B37&amp;"_1.mp3","BrE")</f>
        <v/>
      </c>
      <c r="H37" s="18">
        <f>HYPERLINK("D:\python\英语学习\voices\"&amp;B37&amp;"_2.mp3","AmE")</f>
        <v/>
      </c>
      <c r="I37" s="18">
        <f>HYPERLINK("http://dict.youdao.com/w/"&amp;B37,"有道")</f>
        <v/>
      </c>
    </row>
    <row customHeight="1" ht="28.5" r="38">
      <c r="A38" s="1" t="inlineStr">
        <is>
          <t>unnecessary</t>
        </is>
      </c>
      <c r="B38" s="1" t="inlineStr">
        <is>
          <t>adverb</t>
        </is>
      </c>
      <c r="C38" s="7">
        <f>"n. 副词"&amp;CHAR(10)&amp;"adj. 副词的"</f>
        <v/>
      </c>
      <c r="G38" s="18">
        <f>HYPERLINK("D:\python\英语学习\voices\"&amp;B38&amp;"_1.mp3","BrE")</f>
        <v/>
      </c>
      <c r="H38" s="18">
        <f>HYPERLINK("D:\python\英语学习\voices\"&amp;B38&amp;"_2.mp3","AmE")</f>
        <v/>
      </c>
      <c r="I38" s="18">
        <f>HYPERLINK("http://dict.youdao.com/w/"&amp;B38,"有道")</f>
        <v/>
      </c>
    </row>
    <row r="39">
      <c r="B39" s="1" t="inlineStr">
        <is>
          <t>adversity</t>
        </is>
      </c>
      <c r="C39" s="7">
        <f>"n. 逆境；不幸；灾难；灾祸"</f>
        <v/>
      </c>
      <c r="G39" s="18">
        <f>HYPERLINK("D:\python\英语学习\voices\"&amp;B39&amp;"_1.mp3","BrE")</f>
        <v/>
      </c>
      <c r="H39" s="18">
        <f>HYPERLINK("D:\python\英语学习\voices\"&amp;B39&amp;"_2.mp3","AmE")</f>
        <v/>
      </c>
      <c r="I39" s="18">
        <f>HYPERLINK("http://dict.youdao.com/w/"&amp;B39,"有道")</f>
        <v/>
      </c>
    </row>
    <row customHeight="1" ht="42.75" r="40">
      <c r="B40" s="1" t="inlineStr">
        <is>
          <t>advert</t>
        </is>
      </c>
      <c r="C40" s="7">
        <f>"vi. 注意；谈到"&amp;CHAR(10)&amp;"n. 广告"&amp;CHAR(10)&amp;"n. (Advert)人名；(法)阿德韦尔"</f>
        <v/>
      </c>
      <c r="G40" s="18">
        <f>HYPERLINK("D:\python\英语学习\voices\"&amp;B40&amp;"_1.mp3","BrE")</f>
        <v/>
      </c>
      <c r="H40" s="18">
        <f>HYPERLINK("D:\python\英语学习\voices\"&amp;B40&amp;"_2.mp3","AmE")</f>
        <v/>
      </c>
      <c r="I40" s="18">
        <f>HYPERLINK("http://dict.youdao.com/w/"&amp;B40,"有道")</f>
        <v/>
      </c>
    </row>
    <row customHeight="1" ht="29.1" r="41">
      <c r="B41" s="1" t="inlineStr">
        <is>
          <t>adviser</t>
        </is>
      </c>
      <c r="C41" s="7">
        <f>"n. 顾问；劝告者；指导教师（等于advisor）"</f>
        <v/>
      </c>
      <c r="G41" s="18">
        <f>HYPERLINK("D:\python\英语学习\voices\"&amp;B41&amp;"_1.mp3","BrE")</f>
        <v/>
      </c>
      <c r="H41" s="18">
        <f>HYPERLINK("D:\python\英语学习\voices\"&amp;B41&amp;"_2.mp3","AmE")</f>
        <v/>
      </c>
      <c r="I41" s="18">
        <f>HYPERLINK("http://dict.youdao.com/w/"&amp;B41,"有道")</f>
        <v/>
      </c>
    </row>
    <row r="42">
      <c r="B42" s="1" t="inlineStr">
        <is>
          <t>aerobic</t>
        </is>
      </c>
      <c r="C42" s="7">
        <f>"adj. 需氧的；增氧健身法的"</f>
        <v/>
      </c>
      <c r="G42" s="18">
        <f>HYPERLINK("D:\python\英语学习\voices\"&amp;B42&amp;"_1.mp3","BrE")</f>
        <v/>
      </c>
      <c r="H42" s="18">
        <f>HYPERLINK("D:\python\英语学习\voices\"&amp;B42&amp;"_2.mp3","AmE")</f>
        <v/>
      </c>
      <c r="I42" s="18">
        <f>HYPERLINK("http://dict.youdao.com/w/"&amp;B42,"有道")</f>
        <v/>
      </c>
    </row>
    <row customHeight="1" ht="28.5" r="43">
      <c r="B43" s="1" t="inlineStr">
        <is>
          <t>aerosol</t>
        </is>
      </c>
      <c r="C43" s="7">
        <f>"n. [物化] 气溶胶；气雾剂；喷雾器；浮质"&amp;CHAR(10)&amp;"adj. 喷雾的；喷雾器的"</f>
        <v/>
      </c>
      <c r="E43" s="6" t="inlineStr">
        <is>
          <t>x</t>
        </is>
      </c>
      <c r="G43" s="18">
        <f>HYPERLINK("D:\python\英语学习\voices\"&amp;B43&amp;"_1.mp3","BrE")</f>
        <v/>
      </c>
      <c r="H43" s="18">
        <f>HYPERLINK("D:\python\英语学习\voices\"&amp;B43&amp;"_2.mp3","AmE")</f>
        <v/>
      </c>
      <c r="I43" s="18">
        <f>HYPERLINK("http://dict.youdao.com/w/"&amp;B43,"有道")</f>
        <v/>
      </c>
    </row>
    <row r="44">
      <c r="B44" s="1" t="inlineStr">
        <is>
          <t>affection</t>
        </is>
      </c>
      <c r="C44" s="7">
        <f>"n. 喜爱，感情；影响；感染"</f>
        <v/>
      </c>
      <c r="G44" s="18">
        <f>HYPERLINK("D:\python\英语学习\voices\"&amp;B44&amp;"_1.mp3","BrE")</f>
        <v/>
      </c>
      <c r="H44" s="18">
        <f>HYPERLINK("D:\python\英语学习\voices\"&amp;B44&amp;"_2.mp3","AmE")</f>
        <v/>
      </c>
      <c r="I44" s="18">
        <f>HYPERLINK("http://dict.youdao.com/w/"&amp;B44,"有道")</f>
        <v/>
      </c>
    </row>
    <row r="45">
      <c r="B45" s="1" t="inlineStr">
        <is>
          <t>affective</t>
        </is>
      </c>
      <c r="C45" s="7">
        <f>"adj. 情感的；表达感情的"</f>
        <v/>
      </c>
      <c r="G45" s="18">
        <f>HYPERLINK("D:\python\英语学习\voices\"&amp;B45&amp;"_1.mp3","BrE")</f>
        <v/>
      </c>
      <c r="H45" s="18">
        <f>HYPERLINK("D:\python\英语学习\voices\"&amp;B45&amp;"_2.mp3","AmE")</f>
        <v/>
      </c>
      <c r="I45" s="18">
        <f>HYPERLINK("http://dict.youdao.com/w/"&amp;B45,"有道")</f>
        <v/>
      </c>
    </row>
    <row r="46">
      <c r="B46" s="1" t="inlineStr">
        <is>
          <t>affinity</t>
        </is>
      </c>
      <c r="C46" s="7">
        <f>"n. 密切关系；吸引力；姻亲关系；类同"</f>
        <v/>
      </c>
      <c r="G46" s="18">
        <f>HYPERLINK("D:\python\英语学习\voices\"&amp;B46&amp;"_1.mp3","BrE")</f>
        <v/>
      </c>
      <c r="H46" s="18">
        <f>HYPERLINK("D:\python\英语学习\voices\"&amp;B46&amp;"_2.mp3","AmE")</f>
        <v/>
      </c>
      <c r="I46" s="18">
        <f>HYPERLINK("http://dict.youdao.com/w/"&amp;B46,"有道")</f>
        <v/>
      </c>
    </row>
    <row r="47">
      <c r="B47" s="1" t="inlineStr">
        <is>
          <t>afflict</t>
        </is>
      </c>
      <c r="C47" s="7">
        <f>"vt. 折磨；使痛苦；使苦恼"</f>
        <v/>
      </c>
      <c r="G47" s="18">
        <f>HYPERLINK("D:\python\英语学习\voices\"&amp;B47&amp;"_1.mp3","BrE")</f>
        <v/>
      </c>
      <c r="H47" s="18">
        <f>HYPERLINK("D:\python\英语学习\voices\"&amp;B47&amp;"_2.mp3","AmE")</f>
        <v/>
      </c>
      <c r="I47" s="18">
        <f>HYPERLINK("http://dict.youdao.com/w/"&amp;B47,"有道")</f>
        <v/>
      </c>
    </row>
    <row customHeight="1" ht="28.5" r="48">
      <c r="A48" t="inlineStr">
        <is>
          <t>practice</t>
        </is>
      </c>
      <c r="B48" s="1" t="inlineStr">
        <is>
          <t>affluent</t>
        </is>
      </c>
      <c r="C48" s="7">
        <f>"adj. 富裕的；丰富的；流畅的"&amp;CHAR(10)&amp;"n. 支流；富人"</f>
        <v/>
      </c>
      <c r="G48" s="18">
        <f>HYPERLINK("D:\python\英语学习\voices\"&amp;B48&amp;"_1.mp3","BrE")</f>
        <v/>
      </c>
      <c r="H48" s="18">
        <f>HYPERLINK("D:\python\英语学习\voices\"&amp;B48&amp;"_2.mp3","AmE")</f>
        <v/>
      </c>
      <c r="I48" s="18">
        <f>HYPERLINK("http://dict.youdao.com/w/"&amp;B48,"有道")</f>
        <v/>
      </c>
    </row>
    <row r="49">
      <c r="A49" s="1" t="inlineStr">
        <is>
          <t>important</t>
        </is>
      </c>
      <c r="B49" s="1" t="inlineStr">
        <is>
          <t>ascribe</t>
        </is>
      </c>
      <c r="C49" s="7">
        <f>"vt. 归因于；归咎于"</f>
        <v/>
      </c>
      <c r="E49" s="6" t="inlineStr">
        <is>
          <t>ascribe to</t>
        </is>
      </c>
      <c r="G49" s="18">
        <f>HYPERLINK("D:\python\英语学习\voices\"&amp;B49&amp;"_1.mp3","BrE")</f>
        <v/>
      </c>
      <c r="H49" s="18">
        <f>HYPERLINK("D:\python\英语学习\voices\"&amp;B49&amp;"_2.mp3","AmE")</f>
        <v/>
      </c>
      <c r="I49" s="18">
        <f>HYPERLINK("http://dict.youdao.com/w/"&amp;B49,"有道")</f>
        <v/>
      </c>
    </row>
    <row customHeight="1" ht="57" r="50">
      <c r="A50" s="1" t="inlineStr">
        <is>
          <t>important</t>
        </is>
      </c>
      <c r="B50" s="1" t="inlineStr">
        <is>
          <t>assimilate</t>
        </is>
      </c>
      <c r="C50" s="7">
        <f>"vt. 吸收；使同化；把…比作；使相似"&amp;CHAR(10)&amp;"vi. 吸收；同化"</f>
        <v/>
      </c>
      <c r="E50" s="6" t="inlineStr">
        <is>
          <t>吸收思想</t>
        </is>
      </c>
      <c r="F50" s="7">
        <f>"Many of the Chinese descendants in America have been completely assimilated into American culture."</f>
        <v/>
      </c>
      <c r="G50" s="18">
        <f>HYPERLINK("D:\python\英语学习\voices\"&amp;B50&amp;"_1.mp3","BrE")</f>
        <v/>
      </c>
      <c r="H50" s="18">
        <f>HYPERLINK("D:\python\英语学习\voices\"&amp;B50&amp;"_2.mp3","AmE")</f>
        <v/>
      </c>
      <c r="I50" s="18">
        <f>HYPERLINK("http://dict.youdao.com/w/"&amp;B50,"有道")</f>
        <v/>
      </c>
    </row>
    <row r="51">
      <c r="B51" s="1" t="inlineStr">
        <is>
          <t>aggression</t>
        </is>
      </c>
      <c r="C51" s="7">
        <f>"n. 侵略；进攻；侵犯；侵害"</f>
        <v/>
      </c>
      <c r="G51" s="18">
        <f>HYPERLINK("D:\python\英语学习\voices\"&amp;B51&amp;"_1.mp3","BrE")</f>
        <v/>
      </c>
      <c r="H51" s="18">
        <f>HYPERLINK("D:\python\英语学习\voices\"&amp;B51&amp;"_2.mp3","AmE")</f>
        <v/>
      </c>
      <c r="I51" s="18">
        <f>HYPERLINK("http://dict.youdao.com/w/"&amp;B51,"有道")</f>
        <v/>
      </c>
    </row>
    <row customHeight="1" ht="28.5" r="52">
      <c r="A52" s="1" t="inlineStr">
        <is>
          <t>important</t>
        </is>
      </c>
      <c r="B52" s="1" t="inlineStr">
        <is>
          <t>benign</t>
        </is>
      </c>
      <c r="C52" s="7">
        <f>"adj. 良性的；和蔼的，亲切的；吉利的"&amp;CHAR(10)&amp;"n. (Benign)人名；(俄)贝尼根"</f>
        <v/>
      </c>
      <c r="E52" s="6" t="inlineStr">
        <is>
          <t>benign scenario</t>
        </is>
      </c>
      <c r="G52" s="18">
        <f>HYPERLINK("D:\python\英语学习\voices\"&amp;B52&amp;"_1.mp3","BrE")</f>
        <v/>
      </c>
      <c r="H52" s="18">
        <f>HYPERLINK("D:\python\英语学习\voices\"&amp;B52&amp;"_2.mp3","AmE")</f>
        <v/>
      </c>
      <c r="I52" s="18">
        <f>HYPERLINK("http://dict.youdao.com/w/"&amp;B52,"有道")</f>
        <v/>
      </c>
    </row>
    <row r="53">
      <c r="A53" s="1" t="inlineStr">
        <is>
          <t>important</t>
        </is>
      </c>
      <c r="B53" s="1" t="inlineStr">
        <is>
          <t>bureaucracy</t>
        </is>
      </c>
      <c r="C53" s="7">
        <f>"n. 官僚主义；官僚机构；官僚政治"</f>
        <v/>
      </c>
      <c r="E53" s="6" t="inlineStr">
        <is>
          <t>注意拼写-注意发音-ju</t>
        </is>
      </c>
      <c r="G53" s="18">
        <f>HYPERLINK("D:\python\英语学习\voices\"&amp;B53&amp;"_1.mp3","BrE")</f>
        <v/>
      </c>
      <c r="H53" s="18">
        <f>HYPERLINK("D:\python\英语学习\voices\"&amp;B53&amp;"_2.mp3","AmE")</f>
        <v/>
      </c>
      <c r="I53" s="18">
        <f>HYPERLINK("http://dict.youdao.com/w/"&amp;B53,"有道")</f>
        <v/>
      </c>
    </row>
    <row r="54">
      <c r="B54" s="1" t="inlineStr">
        <is>
          <t>agony</t>
        </is>
      </c>
      <c r="C54" s="7">
        <f>"n. 苦恼；极大的痛苦；临死的挣扎"</f>
        <v/>
      </c>
      <c r="G54" s="18">
        <f>HYPERLINK("D:\python\英语学习\voices\"&amp;B54&amp;"_1.mp3","BrE")</f>
        <v/>
      </c>
      <c r="H54" s="18">
        <f>HYPERLINK("D:\python\英语学习\voices\"&amp;B54&amp;"_2.mp3","AmE")</f>
        <v/>
      </c>
      <c r="I54" s="18">
        <f>HYPERLINK("http://dict.youdao.com/w/"&amp;B54,"有道")</f>
        <v/>
      </c>
    </row>
    <row r="55">
      <c r="B55" s="1" t="inlineStr">
        <is>
          <t>agreeable</t>
        </is>
      </c>
      <c r="C55" s="7">
        <f>"adj. 令人愉快的；适合的；和蔼可亲的"</f>
        <v/>
      </c>
      <c r="G55" s="18">
        <f>HYPERLINK("D:\python\英语学习\voices\"&amp;B55&amp;"_1.mp3","BrE")</f>
        <v/>
      </c>
      <c r="H55" s="18">
        <f>HYPERLINK("D:\python\英语学习\voices\"&amp;B55&amp;"_2.mp3","AmE")</f>
        <v/>
      </c>
      <c r="I55" s="18">
        <f>HYPERLINK("http://dict.youdao.com/w/"&amp;B55,"有道")</f>
        <v/>
      </c>
    </row>
    <row r="56">
      <c r="B56" s="1" t="inlineStr">
        <is>
          <t>airfield</t>
        </is>
      </c>
      <c r="C56" s="7">
        <f>"n. 飞机场"</f>
        <v/>
      </c>
      <c r="G56" s="18">
        <f>HYPERLINK("D:\python\英语学习\voices\"&amp;B56&amp;"_1.mp3","BrE")</f>
        <v/>
      </c>
      <c r="H56" s="18">
        <f>HYPERLINK("D:\python\英语学习\voices\"&amp;B56&amp;"_2.mp3","AmE")</f>
        <v/>
      </c>
      <c r="I56" s="18">
        <f>HYPERLINK("http://dict.youdao.com/w/"&amp;B56,"有道")</f>
        <v/>
      </c>
    </row>
    <row customHeight="1" ht="28.5" r="57">
      <c r="A57" s="1" t="inlineStr">
        <is>
          <t>unnecessary</t>
        </is>
      </c>
      <c r="B57" s="1" t="inlineStr">
        <is>
          <t>alas</t>
        </is>
      </c>
      <c r="C57" s="7">
        <f>"int. 唉（表悲伤、遗憾、恐惧、关切等等）"&amp;CHAR(10)&amp;"n. (Alas)人名；(西、葡、捷、土)阿拉斯"</f>
        <v/>
      </c>
      <c r="G57" s="18">
        <f>HYPERLINK("D:\python\英语学习\voices\"&amp;B57&amp;"_1.mp3","BrE")</f>
        <v/>
      </c>
      <c r="H57" s="18">
        <f>HYPERLINK("D:\python\英语学习\voices\"&amp;B57&amp;"_2.mp3","AmE")</f>
        <v/>
      </c>
      <c r="I57" s="18">
        <f>HYPERLINK("http://dict.youdao.com/w/"&amp;B57,"有道")</f>
        <v/>
      </c>
    </row>
    <row r="58">
      <c r="B58" s="1" t="inlineStr">
        <is>
          <t>albeit</t>
        </is>
      </c>
      <c r="C58" s="7">
        <f>"conj. 虽然；即使"</f>
        <v/>
      </c>
      <c r="D58" s="6" t="inlineStr">
        <is>
          <t>though</t>
        </is>
      </c>
      <c r="E58" s="6" t="inlineStr">
        <is>
          <t>互换although、though</t>
        </is>
      </c>
      <c r="G58" s="18">
        <f>HYPERLINK("D:\python\英语学习\voices\"&amp;B58&amp;"_1.mp3","BrE")</f>
        <v/>
      </c>
      <c r="H58" s="18">
        <f>HYPERLINK("D:\python\英语学习\voices\"&amp;B58&amp;"_2.mp3","AmE")</f>
        <v/>
      </c>
      <c r="I58" s="18">
        <f>HYPERLINK("http://dict.youdao.com/w/"&amp;B58,"有道")</f>
        <v/>
      </c>
    </row>
    <row customHeight="1" ht="57" r="59">
      <c r="B59" s="1" t="inlineStr">
        <is>
          <t>alert</t>
        </is>
      </c>
      <c r="C59" s="7">
        <f>"vt. 警告；使警觉，使意识到"&amp;CHAR(10)&amp;"adj. 警惕的，警觉的；留心的"&amp;CHAR(10)&amp;"n. 警戒，警惕；警报"&amp;CHAR(10)&amp;"n. (Alert)人名；(西)阿莱尔特"</f>
        <v/>
      </c>
      <c r="E59" s="6" t="inlineStr">
        <is>
          <t>好多意思-adj也是原形</t>
        </is>
      </c>
      <c r="G59" s="18">
        <f>HYPERLINK("D:\python\英语学习\voices\"&amp;B59&amp;"_1.mp3","BrE")</f>
        <v/>
      </c>
      <c r="H59" s="18">
        <f>HYPERLINK("D:\python\英语学习\voices\"&amp;B59&amp;"_2.mp3","AmE")</f>
        <v/>
      </c>
      <c r="I59" s="18">
        <f>HYPERLINK("http://dict.youdao.com/w/"&amp;B59,"有道")</f>
        <v/>
      </c>
    </row>
    <row r="60">
      <c r="B60" s="1" t="inlineStr">
        <is>
          <t>algebra</t>
        </is>
      </c>
      <c r="C60" s="7">
        <f>"n. 代数学"</f>
        <v/>
      </c>
      <c r="G60" s="18">
        <f>HYPERLINK("D:\python\英语学习\voices\"&amp;B60&amp;"_1.mp3","BrE")</f>
        <v/>
      </c>
      <c r="H60" s="18">
        <f>HYPERLINK("D:\python\英语学习\voices\"&amp;B60&amp;"_2.mp3","AmE")</f>
        <v/>
      </c>
      <c r="I60" s="18">
        <f>HYPERLINK("http://dict.youdao.com/w/"&amp;B60,"有道")</f>
        <v/>
      </c>
    </row>
    <row r="61">
      <c r="B61" s="1" t="inlineStr">
        <is>
          <t>allegiance</t>
        </is>
      </c>
      <c r="C61" s="7">
        <f>"n. 效忠，忠诚；忠贞"</f>
        <v/>
      </c>
      <c r="E61" s="6" t="inlineStr">
        <is>
          <t>注意拼写</t>
        </is>
      </c>
      <c r="G61" s="18">
        <f>HYPERLINK("D:\python\英语学习\voices\"&amp;B61&amp;"_1.mp3","BrE")</f>
        <v/>
      </c>
      <c r="H61" s="18">
        <f>HYPERLINK("D:\python\英语学习\voices\"&amp;B61&amp;"_2.mp3","AmE")</f>
        <v/>
      </c>
      <c r="I61" s="18">
        <f>HYPERLINK("http://dict.youdao.com/w/"&amp;B61,"有道")</f>
        <v/>
      </c>
    </row>
    <row customHeight="1" ht="28.5" r="62">
      <c r="B62" s="1" t="inlineStr">
        <is>
          <t>allocate</t>
        </is>
      </c>
      <c r="C62" s="7">
        <f>"vt. 分配；拨出；使坐落于"&amp;CHAR(10)&amp;"vi. 分配；指定"</f>
        <v/>
      </c>
      <c r="G62" s="18">
        <f>HYPERLINK("D:\python\英语学习\voices\"&amp;B62&amp;"_1.mp3","BrE")</f>
        <v/>
      </c>
      <c r="H62" s="18">
        <f>HYPERLINK("D:\python\英语学习\voices\"&amp;B62&amp;"_2.mp3","AmE")</f>
        <v/>
      </c>
      <c r="I62" s="18">
        <f>HYPERLINK("http://dict.youdao.com/w/"&amp;B62,"有道")</f>
        <v/>
      </c>
    </row>
    <row customHeight="1" ht="28.5" r="63">
      <c r="A63" t="inlineStr">
        <is>
          <t>important</t>
        </is>
      </c>
      <c r="B63" s="1" t="inlineStr">
        <is>
          <t>commonplace</t>
        </is>
      </c>
      <c r="C63" s="7">
        <f>"n. 老生常谈；司空见惯的事；普通的东西"&amp;CHAR(10)&amp;"adj. 平凡的；陈腐的"</f>
        <v/>
      </c>
      <c r="E63" s="16" t="inlineStr">
        <is>
          <t>司空见惯，普通 的事物</t>
        </is>
      </c>
      <c r="G63" s="18">
        <f>HYPERLINK("D:\python\英语学习\voices\"&amp;B63&amp;"_1.mp3","BrE")</f>
        <v/>
      </c>
      <c r="H63" s="18">
        <f>HYPERLINK("D:\python\英语学习\voices\"&amp;B63&amp;"_2.mp3","AmE")</f>
        <v/>
      </c>
      <c r="I63" s="18">
        <f>HYPERLINK("http://dict.youdao.com/w/"&amp;B63,"有道")</f>
        <v/>
      </c>
    </row>
    <row customHeight="1" ht="57" r="64">
      <c r="B64" s="1" t="inlineStr">
        <is>
          <t>alloy</t>
        </is>
      </c>
      <c r="C64" s="7">
        <f>"vt. 使成合金；使减低成色"&amp;CHAR(10)&amp;"n. 合金"&amp;CHAR(10)&amp;"vi. 易于铸成合金"&amp;CHAR(10)&amp;"n. (Alloy)人名；(英)阿洛伊"</f>
        <v/>
      </c>
      <c r="G64" s="18">
        <f>HYPERLINK("D:\python\英语学习\voices\"&amp;B64&amp;"_1.mp3","BrE")</f>
        <v/>
      </c>
      <c r="H64" s="18">
        <f>HYPERLINK("D:\python\英语学习\voices\"&amp;B64&amp;"_2.mp3","AmE")</f>
        <v/>
      </c>
      <c r="I64" s="18">
        <f>HYPERLINK("http://dict.youdao.com/w/"&amp;B64,"有道")</f>
        <v/>
      </c>
    </row>
    <row customHeight="1" ht="71.25" r="65">
      <c r="B65" s="1" t="inlineStr">
        <is>
          <t>ally</t>
        </is>
      </c>
      <c r="C65" s="7">
        <f>"n. 同盟国；伙伴；同盟者；助手"&amp;CHAR(10)&amp;"vt. 使联盟；使联合"&amp;CHAR(10)&amp;"vi. 联合；结盟"&amp;CHAR(10)&amp;"n. (Ally)人名；(巴基)阿利；(法)阿利；(英)艾丽(女子教名 Alice 的简称)；(尼日利)阿利"</f>
        <v/>
      </c>
      <c r="G65" s="18">
        <f>HYPERLINK("D:\python\英语学习\voices\"&amp;B65&amp;"_1.mp3","BrE")</f>
        <v/>
      </c>
      <c r="H65" s="18">
        <f>HYPERLINK("D:\python\英语学习\voices\"&amp;B65&amp;"_2.mp3","AmE")</f>
        <v/>
      </c>
      <c r="I65" s="18">
        <f>HYPERLINK("http://dict.youdao.com/w/"&amp;B65,"有道")</f>
        <v/>
      </c>
    </row>
    <row r="66">
      <c r="B66" s="1" t="inlineStr">
        <is>
          <t>almanac</t>
        </is>
      </c>
      <c r="C66" s="7">
        <f>"n. 年鉴；历书；年历"</f>
        <v/>
      </c>
      <c r="G66" s="18">
        <f>HYPERLINK("D:\python\英语学习\voices\"&amp;B66&amp;"_1.mp3","BrE")</f>
        <v/>
      </c>
      <c r="H66" s="18">
        <f>HYPERLINK("D:\python\英语学习\voices\"&amp;B66&amp;"_2.mp3","AmE")</f>
        <v/>
      </c>
      <c r="I66" s="18">
        <f>HYPERLINK("http://dict.youdao.com/w/"&amp;B66,"有道")</f>
        <v/>
      </c>
    </row>
    <row r="67">
      <c r="B67" s="1" t="inlineStr">
        <is>
          <t>alteration</t>
        </is>
      </c>
      <c r="C67" s="7">
        <f>"n. 修改，改变；变更"</f>
        <v/>
      </c>
      <c r="G67" s="18">
        <f>HYPERLINK("D:\python\英语学习\voices\"&amp;B67&amp;"_1.mp3","BrE")</f>
        <v/>
      </c>
      <c r="H67" s="18">
        <f>HYPERLINK("D:\python\英语学习\voices\"&amp;B67&amp;"_2.mp3","AmE")</f>
        <v/>
      </c>
      <c r="I67" s="18">
        <f>HYPERLINK("http://dict.youdao.com/w/"&amp;B67,"有道")</f>
        <v/>
      </c>
    </row>
    <row customHeight="1" ht="28.5" r="68">
      <c r="B68" s="1" t="inlineStr">
        <is>
          <t>amateur</t>
        </is>
      </c>
      <c r="C68" s="7">
        <f>"n. 爱好者；业余爱好者；外行"&amp;CHAR(10)&amp;"adj. 业余的；外行的"</f>
        <v/>
      </c>
      <c r="G68" s="18">
        <f>HYPERLINK("D:\python\英语学习\voices\"&amp;B68&amp;"_1.mp3","BrE")</f>
        <v/>
      </c>
      <c r="H68" s="18">
        <f>HYPERLINK("D:\python\英语学习\voices\"&amp;B68&amp;"_2.mp3","AmE")</f>
        <v/>
      </c>
      <c r="I68" s="18">
        <f>HYPERLINK("http://dict.youdao.com/w/"&amp;B68,"有道")</f>
        <v/>
      </c>
    </row>
    <row customHeight="1" ht="29.1" r="69">
      <c r="B69" s="1" t="inlineStr">
        <is>
          <t>ambitious</t>
        </is>
      </c>
      <c r="C69" s="7">
        <f>"adj. 野心勃勃的；有雄心的；热望的；炫耀的"</f>
        <v/>
      </c>
      <c r="G69" s="18">
        <f>HYPERLINK("D:\python\英语学习\voices\"&amp;B69&amp;"_1.mp3","BrE")</f>
        <v/>
      </c>
      <c r="H69" s="18">
        <f>HYPERLINK("D:\python\英语学习\voices\"&amp;B69&amp;"_2.mp3","AmE")</f>
        <v/>
      </c>
      <c r="I69" s="18">
        <f>HYPERLINK("http://dict.youdao.com/w/"&amp;B69,"有道")</f>
        <v/>
      </c>
    </row>
    <row customHeight="1" ht="42.75" r="70">
      <c r="A70" t="inlineStr">
        <is>
          <t>important</t>
        </is>
      </c>
      <c r="B70" s="1" t="inlineStr">
        <is>
          <t>conserve</t>
        </is>
      </c>
      <c r="C70" s="7">
        <f>"vt. 保存；将…做成蜜饯；使守恒"&amp;CHAR(10)&amp;"n. 果酱；蜜饯"</f>
        <v/>
      </c>
      <c r="E70" t="inlineStr">
        <is>
          <t>动物环境保护</t>
        </is>
      </c>
      <c r="G70" s="18">
        <f>HYPERLINK("D:\python\英语学习\voices\"&amp;B70&amp;"_1.mp3","BrE")</f>
        <v/>
      </c>
      <c r="H70" s="18">
        <f>HYPERLINK("D:\python\英语学习\voices\"&amp;B70&amp;"_2.mp3","AmE")</f>
        <v/>
      </c>
      <c r="I70" s="18">
        <f>HYPERLINK("http://dict.youdao.com/w/"&amp;B70,"有道")</f>
        <v/>
      </c>
    </row>
    <row r="71">
      <c r="B71" s="1" t="inlineStr">
        <is>
          <t>amidst</t>
        </is>
      </c>
      <c r="C71" s="7">
        <f>"prep. 在…当中"</f>
        <v/>
      </c>
      <c r="F71" s="7">
        <f>"the world advances amidst turbulence"</f>
        <v/>
      </c>
      <c r="G71" s="18">
        <f>HYPERLINK("D:\python\英语学习\voices\"&amp;B71&amp;"_1.mp3","BrE")</f>
        <v/>
      </c>
      <c r="H71" s="18">
        <f>HYPERLINK("D:\python\英语学习\voices\"&amp;B71&amp;"_2.mp3","AmE")</f>
        <v/>
      </c>
      <c r="I71" s="18">
        <f>HYPERLINK("http://dict.youdao.com/w/"&amp;B71,"有道")</f>
        <v/>
      </c>
    </row>
    <row customHeight="1" ht="28.5" r="72">
      <c r="B72" s="1" t="inlineStr">
        <is>
          <t>amnesty</t>
        </is>
      </c>
      <c r="C72" s="7">
        <f>"n. 大赦，特赦"&amp;CHAR(10)&amp;"vt. 对…实行大赦"</f>
        <v/>
      </c>
      <c r="G72" s="18">
        <f>HYPERLINK("D:\python\英语学习\voices\"&amp;B72&amp;"_1.mp3","BrE")</f>
        <v/>
      </c>
      <c r="H72" s="18">
        <f>HYPERLINK("D:\python\英语学习\voices\"&amp;B72&amp;"_2.mp3","AmE")</f>
        <v/>
      </c>
      <c r="I72" s="18">
        <f>HYPERLINK("http://dict.youdao.com/w/"&amp;B72,"有道")</f>
        <v/>
      </c>
    </row>
    <row r="73">
      <c r="B73" s="1" t="inlineStr">
        <is>
          <t>amplitude</t>
        </is>
      </c>
      <c r="C73" s="7">
        <f>"n. 振幅；丰富，充足；广阔"</f>
        <v/>
      </c>
      <c r="G73" s="18">
        <f>HYPERLINK("D:\python\英语学习\voices\"&amp;B73&amp;"_1.mp3","BrE")</f>
        <v/>
      </c>
      <c r="H73" s="18">
        <f>HYPERLINK("D:\python\英语学习\voices\"&amp;B73&amp;"_2.mp3","AmE")</f>
        <v/>
      </c>
      <c r="I73" s="18">
        <f>HYPERLINK("http://dict.youdao.com/w/"&amp;B73,"有道")</f>
        <v/>
      </c>
    </row>
    <row customHeight="1" ht="28.5" r="74">
      <c r="B74" s="1" t="inlineStr">
        <is>
          <t>analog</t>
        </is>
      </c>
      <c r="C74" s="7">
        <f>"n. [自] 模拟；类似物"&amp;CHAR(10)&amp;"adj. [自] 模拟的；有长短针的"</f>
        <v/>
      </c>
      <c r="G74" s="18">
        <f>HYPERLINK("D:\python\英语学习\voices\"&amp;B74&amp;"_1.mp3","BrE")</f>
        <v/>
      </c>
      <c r="H74" s="18">
        <f>HYPERLINK("D:\python\英语学习\voices\"&amp;B74&amp;"_2.mp3","AmE")</f>
        <v/>
      </c>
      <c r="I74" s="18">
        <f>HYPERLINK("http://dict.youdao.com/w/"&amp;B74,"有道")</f>
        <v/>
      </c>
    </row>
    <row r="75">
      <c r="B75" s="1" t="inlineStr">
        <is>
          <t>analogous</t>
        </is>
      </c>
      <c r="C75" s="7">
        <f>"adj. 类似的；[昆] 同功的；可比拟的"</f>
        <v/>
      </c>
      <c r="D75" s="16" t="inlineStr">
        <is>
          <t>analogy-类比，类似</t>
        </is>
      </c>
      <c r="G75" s="18">
        <f>HYPERLINK("D:\python\英语学习\voices\"&amp;B75&amp;"_1.mp3","BrE")</f>
        <v/>
      </c>
      <c r="H75" s="18">
        <f>HYPERLINK("D:\python\英语学习\voices\"&amp;B75&amp;"_2.mp3","AmE")</f>
        <v/>
      </c>
      <c r="I75" s="18">
        <f>HYPERLINK("http://dict.youdao.com/w/"&amp;B75,"有道")</f>
        <v/>
      </c>
    </row>
    <row customHeight="1" ht="28.5" r="76">
      <c r="B76" s="1" t="inlineStr">
        <is>
          <t>analogue</t>
        </is>
      </c>
      <c r="C76" s="7">
        <f>"n. 类似物；类似情况；对等的人"&amp;CHAR(10)&amp;"adj. 类似的；相似物的；模拟计算机的"</f>
        <v/>
      </c>
      <c r="G76" s="18">
        <f>HYPERLINK("D:\python\英语学习\voices\"&amp;B76&amp;"_1.mp3","BrE")</f>
        <v/>
      </c>
      <c r="H76" s="18">
        <f>HYPERLINK("D:\python\英语学习\voices\"&amp;B76&amp;"_2.mp3","AmE")</f>
        <v/>
      </c>
      <c r="I76" s="18">
        <f>HYPERLINK("http://dict.youdao.com/w/"&amp;B76,"有道")</f>
        <v/>
      </c>
    </row>
    <row r="77">
      <c r="B77" s="1" t="inlineStr">
        <is>
          <t>analogy</t>
        </is>
      </c>
      <c r="C77" s="7">
        <f>"n. 类比；类推；类似"</f>
        <v/>
      </c>
      <c r="G77" s="18">
        <f>HYPERLINK("D:\python\英语学习\voices\"&amp;B77&amp;"_1.mp3","BrE")</f>
        <v/>
      </c>
      <c r="H77" s="18">
        <f>HYPERLINK("D:\python\英语学习\voices\"&amp;B77&amp;"_2.mp3","AmE")</f>
        <v/>
      </c>
      <c r="I77" s="18">
        <f>HYPERLINK("http://dict.youdao.com/w/"&amp;B77,"有道")</f>
        <v/>
      </c>
    </row>
    <row r="78">
      <c r="B78" s="1" t="inlineStr">
        <is>
          <t>analytic</t>
        </is>
      </c>
      <c r="C78" s="7">
        <f>"adj. 分析的；解析的；善于分析的"</f>
        <v/>
      </c>
      <c r="G78" s="18">
        <f>HYPERLINK("D:\python\英语学习\voices\"&amp;B78&amp;"_1.mp3","BrE")</f>
        <v/>
      </c>
      <c r="H78" s="18">
        <f>HYPERLINK("D:\python\英语学习\voices\"&amp;B78&amp;"_2.mp3","AmE")</f>
        <v/>
      </c>
      <c r="I78" s="18">
        <f>HYPERLINK("http://dict.youdao.com/w/"&amp;B78,"有道")</f>
        <v/>
      </c>
    </row>
    <row r="79">
      <c r="B79" s="1" t="inlineStr">
        <is>
          <t>anecdote</t>
        </is>
      </c>
      <c r="C79" s="7">
        <f>"n. 轶事；奇闻；秘史"</f>
        <v/>
      </c>
      <c r="E79" s="16" t="inlineStr">
        <is>
          <t>注意发音-重音在a</t>
        </is>
      </c>
      <c r="G79" s="18">
        <f>HYPERLINK("D:\python\英语学习\voices\"&amp;B79&amp;"_1.mp3","BrE")</f>
        <v/>
      </c>
      <c r="H79" s="18">
        <f>HYPERLINK("D:\python\英语学习\voices\"&amp;B79&amp;"_2.mp3","AmE")</f>
        <v/>
      </c>
      <c r="I79" s="18">
        <f>HYPERLINK("http://dict.youdao.com/w/"&amp;B79,"有道")</f>
        <v/>
      </c>
    </row>
    <row customHeight="1" ht="42.75" r="80">
      <c r="B80" s="1" t="inlineStr">
        <is>
          <t>anguish</t>
        </is>
      </c>
      <c r="C80" s="7">
        <f>"n. 痛苦；苦恼"&amp;CHAR(10)&amp;"vt. 使极度痛苦"&amp;CHAR(10)&amp;"vi. 感到极度的痛苦"</f>
        <v/>
      </c>
      <c r="G80" s="18">
        <f>HYPERLINK("D:\python\英语学习\voices\"&amp;B80&amp;"_1.mp3","BrE")</f>
        <v/>
      </c>
      <c r="H80" s="18">
        <f>HYPERLINK("D:\python\英语学习\voices\"&amp;B80&amp;"_2.mp3","AmE")</f>
        <v/>
      </c>
      <c r="I80" s="18">
        <f>HYPERLINK("http://dict.youdao.com/w/"&amp;B80,"有道")</f>
        <v/>
      </c>
    </row>
    <row r="81">
      <c r="B81" s="1" t="inlineStr">
        <is>
          <t>animation</t>
        </is>
      </c>
      <c r="C81" s="7">
        <f>"n. 活泼，生气；激励；卡通片绘制"</f>
        <v/>
      </c>
      <c r="G81" s="18">
        <f>HYPERLINK("D:\python\英语学习\voices\"&amp;B81&amp;"_1.mp3","BrE")</f>
        <v/>
      </c>
      <c r="H81" s="18">
        <f>HYPERLINK("D:\python\英语学习\voices\"&amp;B81&amp;"_2.mp3","AmE")</f>
        <v/>
      </c>
      <c r="I81" s="18">
        <f>HYPERLINK("http://dict.youdao.com/w/"&amp;B81,"有道")</f>
        <v/>
      </c>
    </row>
    <row r="82">
      <c r="B82" s="1" t="inlineStr">
        <is>
          <t>annuity</t>
        </is>
      </c>
      <c r="C82" s="7">
        <f>"n. 年金，养老金；年金保险；年金享受权"</f>
        <v/>
      </c>
      <c r="G82" s="18">
        <f>HYPERLINK("D:\python\英语学习\voices\"&amp;B82&amp;"_1.mp3","BrE")</f>
        <v/>
      </c>
      <c r="H82" s="18">
        <f>HYPERLINK("D:\python\英语学习\voices\"&amp;B82&amp;"_2.mp3","AmE")</f>
        <v/>
      </c>
      <c r="I82" s="18">
        <f>HYPERLINK("http://dict.youdao.com/w/"&amp;B82,"有道")</f>
        <v/>
      </c>
    </row>
    <row r="83">
      <c r="B83" s="1" t="inlineStr">
        <is>
          <t>anomaly</t>
        </is>
      </c>
      <c r="C83" s="7">
        <f>"n. 异常；不规则；反常事物"</f>
        <v/>
      </c>
      <c r="G83" s="18">
        <f>HYPERLINK("D:\python\英语学习\voices\"&amp;B83&amp;"_1.mp3","BrE")</f>
        <v/>
      </c>
      <c r="H83" s="18">
        <f>HYPERLINK("D:\python\英语学习\voices\"&amp;B83&amp;"_2.mp3","AmE")</f>
        <v/>
      </c>
      <c r="I83" s="18">
        <f>HYPERLINK("http://dict.youdao.com/w/"&amp;B83,"有道")</f>
        <v/>
      </c>
    </row>
    <row customHeight="1" ht="28.5" r="84">
      <c r="B84" s="1" t="inlineStr">
        <is>
          <t>anon</t>
        </is>
      </c>
      <c r="C84" s="7">
        <f>"adv. 不久；立刻；另一次"&amp;CHAR(10)&amp;"n. (Anon)人名；(瑞典)阿农"</f>
        <v/>
      </c>
      <c r="G84" s="18">
        <f>HYPERLINK("D:\python\英语学习\voices\"&amp;B84&amp;"_1.mp3","BrE")</f>
        <v/>
      </c>
      <c r="H84" s="18">
        <f>HYPERLINK("D:\python\英语学习\voices\"&amp;B84&amp;"_2.mp3","AmE")</f>
        <v/>
      </c>
      <c r="I84" s="18">
        <f>HYPERLINK("http://dict.youdao.com/w/"&amp;B84,"有道")</f>
        <v/>
      </c>
    </row>
    <row customHeight="1" ht="28.5" r="85">
      <c r="B85" s="1" t="inlineStr">
        <is>
          <t>antenna</t>
        </is>
      </c>
      <c r="C85" s="7">
        <f>"n. [电讯] 天线；[动] 触角，[昆] 触须"&amp;CHAR(10)&amp;"n. (Antenna)人名；(法)安泰纳"</f>
        <v/>
      </c>
      <c r="G85" s="18">
        <f>HYPERLINK("D:\python\英语学习\voices\"&amp;B85&amp;"_1.mp3","BrE")</f>
        <v/>
      </c>
      <c r="H85" s="18">
        <f>HYPERLINK("D:\python\英语学习\voices\"&amp;B85&amp;"_2.mp3","AmE")</f>
        <v/>
      </c>
      <c r="I85" s="18">
        <f>HYPERLINK("http://dict.youdao.com/w/"&amp;B85,"有道")</f>
        <v/>
      </c>
    </row>
    <row r="86">
      <c r="B86" s="1" t="inlineStr">
        <is>
          <t>anthrax</t>
        </is>
      </c>
      <c r="C86" s="7">
        <f>"n. 炭疽，炭疽热"</f>
        <v/>
      </c>
      <c r="G86" s="18">
        <f>HYPERLINK("D:\python\英语学习\voices\"&amp;B86&amp;"_1.mp3","BrE")</f>
        <v/>
      </c>
      <c r="H86" s="18">
        <f>HYPERLINK("D:\python\英语学习\voices\"&amp;B86&amp;"_2.mp3","AmE")</f>
        <v/>
      </c>
      <c r="I86" s="18">
        <f>HYPERLINK("http://dict.youdao.com/w/"&amp;B86,"有道")</f>
        <v/>
      </c>
    </row>
    <row r="87">
      <c r="B87" s="1" t="inlineStr">
        <is>
          <t>antigen</t>
        </is>
      </c>
      <c r="C87" s="7">
        <f>"n. [免疫] 抗原"</f>
        <v/>
      </c>
      <c r="G87" s="18">
        <f>HYPERLINK("D:\python\英语学习\voices\"&amp;B87&amp;"_1.mp3","BrE")</f>
        <v/>
      </c>
      <c r="H87" s="18">
        <f>HYPERLINK("D:\python\英语学习\voices\"&amp;B87&amp;"_2.mp3","AmE")</f>
        <v/>
      </c>
      <c r="I87" s="18">
        <f>HYPERLINK("http://dict.youdao.com/w/"&amp;B87,"有道")</f>
        <v/>
      </c>
    </row>
    <row r="88">
      <c r="B88" s="1" t="inlineStr">
        <is>
          <t>antiquity</t>
        </is>
      </c>
      <c r="C88" s="7">
        <f>"n. 高龄；古物；古代的遗物"</f>
        <v/>
      </c>
      <c r="G88" s="18">
        <f>HYPERLINK("D:\python\英语学习\voices\"&amp;B88&amp;"_1.mp3","BrE")</f>
        <v/>
      </c>
      <c r="H88" s="18">
        <f>HYPERLINK("D:\python\英语学习\voices\"&amp;B88&amp;"_2.mp3","AmE")</f>
        <v/>
      </c>
      <c r="I88" s="18">
        <f>HYPERLINK("http://dict.youdao.com/w/"&amp;B88,"有道")</f>
        <v/>
      </c>
    </row>
    <row customHeight="1" ht="28.5" r="89">
      <c r="B89" s="1" t="inlineStr">
        <is>
          <t>antisocial</t>
        </is>
      </c>
      <c r="C89" s="7">
        <f>"adj. 反社会的；扰乱社会的；不爱交际的"&amp;CHAR(10)&amp;"n. 违背社会公德的人；反社会者"</f>
        <v/>
      </c>
      <c r="G89" s="18">
        <f>HYPERLINK("D:\python\英语学习\voices\"&amp;B89&amp;"_1.mp3","BrE")</f>
        <v/>
      </c>
      <c r="H89" s="18">
        <f>HYPERLINK("D:\python\英语学习\voices\"&amp;B89&amp;"_2.mp3","AmE")</f>
        <v/>
      </c>
      <c r="I89" s="18">
        <f>HYPERLINK("http://dict.youdao.com/w/"&amp;B89,"有道")</f>
        <v/>
      </c>
    </row>
    <row r="90">
      <c r="B90" s="1" t="inlineStr">
        <is>
          <t>appall</t>
        </is>
      </c>
      <c r="C90" s="7">
        <f>"vt. 使胆寒；使惊骇"</f>
        <v/>
      </c>
      <c r="G90" s="18">
        <f>HYPERLINK("D:\python\英语学习\voices\"&amp;B90&amp;"_1.mp3","BrE")</f>
        <v/>
      </c>
      <c r="H90" s="18">
        <f>HYPERLINK("D:\python\英语学习\voices\"&amp;B90&amp;"_2.mp3","AmE")</f>
        <v/>
      </c>
      <c r="I90" s="18">
        <f>HYPERLINK("http://dict.youdao.com/w/"&amp;B90,"有道")</f>
        <v/>
      </c>
    </row>
    <row r="91">
      <c r="B91" s="1" t="inlineStr">
        <is>
          <t>apparatus</t>
        </is>
      </c>
      <c r="C91" s="7">
        <f>"n. 装置，设备；仪器；器官"</f>
        <v/>
      </c>
      <c r="G91" s="18">
        <f>HYPERLINK("D:\python\英语学习\voices\"&amp;B91&amp;"_1.mp3","BrE")</f>
        <v/>
      </c>
      <c r="H91" s="18">
        <f>HYPERLINK("D:\python\英语学习\voices\"&amp;B91&amp;"_2.mp3","AmE")</f>
        <v/>
      </c>
      <c r="I91" s="18">
        <f>HYPERLINK("http://dict.youdao.com/w/"&amp;B91,"有道")</f>
        <v/>
      </c>
    </row>
    <row r="92">
      <c r="B92" s="1" t="inlineStr">
        <is>
          <t>applicable</t>
        </is>
      </c>
      <c r="C92" s="7">
        <f>"adj. 可适用的；可应用的；合适的"</f>
        <v/>
      </c>
      <c r="G92" s="18">
        <f>HYPERLINK("D:\python\英语学习\voices\"&amp;B92&amp;"_1.mp3","BrE")</f>
        <v/>
      </c>
      <c r="H92" s="18">
        <f>HYPERLINK("D:\python\英语学习\voices\"&amp;B92&amp;"_2.mp3","AmE")</f>
        <v/>
      </c>
      <c r="I92" s="18">
        <f>HYPERLINK("http://dict.youdao.com/w/"&amp;B92,"有道")</f>
        <v/>
      </c>
    </row>
    <row customHeight="1" ht="28.5" r="93">
      <c r="B93" s="1" t="inlineStr">
        <is>
          <t>appraisal</t>
        </is>
      </c>
      <c r="C93" s="7">
        <f>"n. 评价；估价（尤指估价财产，以便征税）；估计"</f>
        <v/>
      </c>
      <c r="G93" s="18">
        <f>HYPERLINK("D:\python\英语学习\voices\"&amp;B93&amp;"_1.mp3","BrE")</f>
        <v/>
      </c>
      <c r="H93" s="18">
        <f>HYPERLINK("D:\python\英语学习\voices\"&amp;B93&amp;"_2.mp3","AmE")</f>
        <v/>
      </c>
      <c r="I93" s="18">
        <f>HYPERLINK("http://dict.youdao.com/w/"&amp;B93,"有道")</f>
        <v/>
      </c>
    </row>
    <row r="94">
      <c r="B94" s="1" t="inlineStr">
        <is>
          <t>appreciable</t>
        </is>
      </c>
      <c r="C94" s="7">
        <f>"adj. 可感知的；可评估的；相当可观的"</f>
        <v/>
      </c>
      <c r="G94" s="18">
        <f>HYPERLINK("D:\python\英语学习\voices\"&amp;B94&amp;"_1.mp3","BrE")</f>
        <v/>
      </c>
      <c r="H94" s="18">
        <f>HYPERLINK("D:\python\英语学习\voices\"&amp;B94&amp;"_2.mp3","AmE")</f>
        <v/>
      </c>
      <c r="I94" s="18">
        <f>HYPERLINK("http://dict.youdao.com/w/"&amp;B94,"有道")</f>
        <v/>
      </c>
    </row>
    <row r="95">
      <c r="B95" s="1" t="inlineStr">
        <is>
          <t>apprehension</t>
        </is>
      </c>
      <c r="C95" s="7">
        <f>"n. 理解；恐惧；逮捕；忧惧"</f>
        <v/>
      </c>
      <c r="G95" s="18">
        <f>HYPERLINK("D:\python\英语学习\voices\"&amp;B95&amp;"_1.mp3","BrE")</f>
        <v/>
      </c>
      <c r="H95" s="18">
        <f>HYPERLINK("D:\python\英语学习\voices\"&amp;B95&amp;"_2.mp3","AmE")</f>
        <v/>
      </c>
      <c r="I95" s="18">
        <f>HYPERLINK("http://dict.youdao.com/w/"&amp;B95,"有道")</f>
        <v/>
      </c>
    </row>
    <row customHeight="1" ht="42.75" r="96">
      <c r="B96" s="1" t="inlineStr">
        <is>
          <t>apprentice</t>
        </is>
      </c>
      <c r="C96" s="7">
        <f>"n. 学徒；生手"&amp;CHAR(10)&amp;"vt. 使…当学徒"&amp;CHAR(10)&amp;"vi. 当学徒"</f>
        <v/>
      </c>
      <c r="G96" s="18">
        <f>HYPERLINK("D:\python\英语学习\voices\"&amp;B96&amp;"_1.mp3","BrE")</f>
        <v/>
      </c>
      <c r="H96" s="18">
        <f>HYPERLINK("D:\python\英语学习\voices\"&amp;B96&amp;"_2.mp3","AmE")</f>
        <v/>
      </c>
      <c r="I96" s="18">
        <f>HYPERLINK("http://dict.youdao.com/w/"&amp;B96,"有道")</f>
        <v/>
      </c>
    </row>
    <row customHeight="1" ht="28.5" r="97">
      <c r="B97" s="1" t="inlineStr">
        <is>
          <t>apt</t>
        </is>
      </c>
      <c r="C97" s="7">
        <f>"adj. 恰当的；有…倾向的；灵敏的"&amp;CHAR(10)&amp;"n. (Apt)人名；(法、波、英)阿普特"</f>
        <v/>
      </c>
      <c r="G97" s="18">
        <f>HYPERLINK("D:\python\英语学习\voices\"&amp;B97&amp;"_1.mp3","BrE")</f>
        <v/>
      </c>
      <c r="H97" s="18">
        <f>HYPERLINK("D:\python\英语学习\voices\"&amp;B97&amp;"_2.mp3","AmE")</f>
        <v/>
      </c>
      <c r="I97" s="18">
        <f>HYPERLINK("http://dict.youdao.com/w/"&amp;B97,"有道")</f>
        <v/>
      </c>
    </row>
    <row r="98">
      <c r="B98" s="1" t="inlineStr">
        <is>
          <t>arbitrary</t>
        </is>
      </c>
      <c r="C98" s="7">
        <f>"adj. [数] 任意的；武断的；专制的"</f>
        <v/>
      </c>
      <c r="E98" s="16" t="inlineStr">
        <is>
          <t>[数]可以去掉</t>
        </is>
      </c>
      <c r="G98" s="18">
        <f>HYPERLINK("D:\python\英语学习\voices\"&amp;B98&amp;"_1.mp3","BrE")</f>
        <v/>
      </c>
      <c r="H98" s="18">
        <f>HYPERLINK("D:\python\英语学习\voices\"&amp;B98&amp;"_2.mp3","AmE")</f>
        <v/>
      </c>
      <c r="I98" s="18">
        <f>HYPERLINK("http://dict.youdao.com/w/"&amp;B98,"有道")</f>
        <v/>
      </c>
    </row>
    <row customHeight="1" ht="71.25" r="99">
      <c r="B99" s="1" t="inlineStr">
        <is>
          <t>arch</t>
        </is>
      </c>
      <c r="C99" s="7">
        <f>"n. 弓形，拱形；拱门"&amp;CHAR(10)&amp;"adj. 主要的"&amp;CHAR(10)&amp;"vt. 使…弯成弓形；用拱连接"&amp;CHAR(10)&amp;"vi. 拱起；成为弓形"&amp;CHAR(10)&amp;"n. (Arch)人名；(德)阿尔希；(英)阿奇"</f>
        <v/>
      </c>
      <c r="G99" s="18">
        <f>HYPERLINK("D:\python\英语学习\voices\"&amp;B99&amp;"_1.mp3","BrE")</f>
        <v/>
      </c>
      <c r="H99" s="18">
        <f>HYPERLINK("D:\python\英语学习\voices\"&amp;B99&amp;"_2.mp3","AmE")</f>
        <v/>
      </c>
      <c r="I99" s="18">
        <f>HYPERLINK("http://dict.youdao.com/w/"&amp;B99,"有道")</f>
        <v/>
      </c>
    </row>
    <row customHeight="1" ht="28.5" r="100">
      <c r="B100" s="1" t="inlineStr">
        <is>
          <t>archaeology</t>
        </is>
      </c>
      <c r="C100" s="7">
        <f>"n. 考古学"&amp;CHAR(10)&amp;"adj.考古学的"</f>
        <v/>
      </c>
      <c r="E100" s="6" t="inlineStr">
        <is>
          <t>注意拼写</t>
        </is>
      </c>
      <c r="G100" s="18">
        <f>HYPERLINK("D:\python\英语学习\voices\"&amp;B100&amp;"_1.mp3","BrE")</f>
        <v/>
      </c>
      <c r="H100" s="18">
        <f>HYPERLINK("D:\python\英语学习\voices\"&amp;B100&amp;"_2.mp3","AmE")</f>
        <v/>
      </c>
      <c r="I100" s="18">
        <f>HYPERLINK("http://dict.youdao.com/w/"&amp;B100,"有道")</f>
        <v/>
      </c>
    </row>
    <row customHeight="1" ht="28.5" r="101">
      <c r="B101" s="1" t="inlineStr">
        <is>
          <t>architect</t>
        </is>
      </c>
      <c r="C101" s="7">
        <f>"n. 建筑师"&amp;CHAR(10)&amp;"n. 缔造者"</f>
        <v/>
      </c>
      <c r="G101" s="18">
        <f>HYPERLINK("D:\python\英语学习\voices\"&amp;B101&amp;"_1.mp3","BrE")</f>
        <v/>
      </c>
      <c r="H101" s="18">
        <f>HYPERLINK("D:\python\英语学习\voices\"&amp;B101&amp;"_2.mp3","AmE")</f>
        <v/>
      </c>
      <c r="I101" s="18">
        <f>HYPERLINK("http://dict.youdao.com/w/"&amp;B101,"有道")</f>
        <v/>
      </c>
    </row>
    <row r="102">
      <c r="B102" s="1" t="inlineStr">
        <is>
          <t>arithmetic</t>
        </is>
      </c>
      <c r="C102" s="7">
        <f>"n. 算术，算法"</f>
        <v/>
      </c>
      <c r="G102" s="18">
        <f>HYPERLINK("D:\python\英语学习\voices\"&amp;B102&amp;"_1.mp3","BrE")</f>
        <v/>
      </c>
      <c r="H102" s="18">
        <f>HYPERLINK("D:\python\英语学习\voices\"&amp;B102&amp;"_2.mp3","AmE")</f>
        <v/>
      </c>
      <c r="I102" s="18">
        <f>HYPERLINK("http://dict.youdao.com/w/"&amp;B102,"有道")</f>
        <v/>
      </c>
    </row>
    <row customHeight="1" ht="42.75" r="103">
      <c r="B103" s="1" t="inlineStr">
        <is>
          <t>array</t>
        </is>
      </c>
      <c r="C103" s="7">
        <f>"n. 数组，阵列；排列，列阵；大批，一系列；衣服"&amp;CHAR(10)&amp;"vt. 排列，部署；打扮"</f>
        <v/>
      </c>
      <c r="G103" s="18">
        <f>HYPERLINK("D:\python\英语学习\voices\"&amp;B103&amp;"_1.mp3","BrE")</f>
        <v/>
      </c>
      <c r="H103" s="18">
        <f>HYPERLINK("D:\python\英语学习\voices\"&amp;B103&amp;"_2.mp3","AmE")</f>
        <v/>
      </c>
      <c r="I103" s="18">
        <f>HYPERLINK("http://dict.youdao.com/w/"&amp;B103,"有道")</f>
        <v/>
      </c>
    </row>
    <row customHeight="1" ht="28.5" r="104">
      <c r="B104" s="1" t="inlineStr">
        <is>
          <t>artifice</t>
        </is>
      </c>
      <c r="C104" s="7">
        <f>"n. 诡计；欺骗；巧妙的办法"&amp;CHAR(10)&amp;"n. (Artifice)人名；(葡)阿蒂菲塞"</f>
        <v/>
      </c>
      <c r="D104" s="6" t="inlineStr">
        <is>
          <t>artificial人造的虚伪的</t>
        </is>
      </c>
      <c r="G104" s="18">
        <f>HYPERLINK("D:\python\英语学习\voices\"&amp;B104&amp;"_1.mp3","BrE")</f>
        <v/>
      </c>
      <c r="H104" s="18">
        <f>HYPERLINK("D:\python\英语学习\voices\"&amp;B104&amp;"_2.mp3","AmE")</f>
        <v/>
      </c>
      <c r="I104" s="18">
        <f>HYPERLINK("http://dict.youdao.com/w/"&amp;B104,"有道")</f>
        <v/>
      </c>
    </row>
    <row customHeight="1" ht="28.5" r="105">
      <c r="B105" s="1" t="inlineStr">
        <is>
          <t>artificial</t>
        </is>
      </c>
      <c r="C105" s="7">
        <f>"adj. 人造的；仿造的；虚伪的；非原产地的；武断的"</f>
        <v/>
      </c>
      <c r="G105" s="18">
        <f>HYPERLINK("D:\python\英语学习\voices\"&amp;B105&amp;"_1.mp3","BrE")</f>
        <v/>
      </c>
      <c r="H105" s="18">
        <f>HYPERLINK("D:\python\英语学习\voices\"&amp;B105&amp;"_2.mp3","AmE")</f>
        <v/>
      </c>
      <c r="I105" s="18">
        <f>HYPERLINK("http://dict.youdao.com/w/"&amp;B105,"有道")</f>
        <v/>
      </c>
    </row>
    <row customHeight="1" ht="28.5" r="106">
      <c r="B106" s="1" t="inlineStr">
        <is>
          <t>ascend</t>
        </is>
      </c>
      <c r="C106" s="7">
        <f>"vi. 上升；登高；追溯"&amp;CHAR(10)&amp;"vt. 攀登，上升"</f>
        <v/>
      </c>
      <c r="G106" s="18">
        <f>HYPERLINK("D:\python\英语学习\voices\"&amp;B106&amp;"_1.mp3","BrE")</f>
        <v/>
      </c>
      <c r="H106" s="18">
        <f>HYPERLINK("D:\python\英语学习\voices\"&amp;B106&amp;"_2.mp3","AmE")</f>
        <v/>
      </c>
      <c r="I106" s="18">
        <f>HYPERLINK("http://dict.youdao.com/w/"&amp;B106,"有道")</f>
        <v/>
      </c>
    </row>
    <row r="107">
      <c r="B107" s="1" t="inlineStr">
        <is>
          <t>ascent</t>
        </is>
      </c>
      <c r="C107" s="7">
        <f>"n. 上升；上坡路；登高"</f>
        <v/>
      </c>
      <c r="G107" s="18">
        <f>HYPERLINK("D:\python\英语学习\voices\"&amp;B107&amp;"_1.mp3","BrE")</f>
        <v/>
      </c>
      <c r="H107" s="18">
        <f>HYPERLINK("D:\python\英语学习\voices\"&amp;B107&amp;"_2.mp3","AmE")</f>
        <v/>
      </c>
      <c r="I107" s="18">
        <f>HYPERLINK("http://dict.youdao.com/w/"&amp;B107,"有道")</f>
        <v/>
      </c>
    </row>
    <row r="108">
      <c r="A108" t="inlineStr">
        <is>
          <t>important</t>
        </is>
      </c>
      <c r="B108" s="1" t="inlineStr">
        <is>
          <t>considerable</t>
        </is>
      </c>
      <c r="C108" s="7">
        <f>"adj. 相当大的；重要的，值得考虑的"</f>
        <v/>
      </c>
      <c r="E108" s="16" t="inlineStr">
        <is>
          <t>很地道的表达，和consider关系不大</t>
        </is>
      </c>
      <c r="G108" s="18">
        <f>HYPERLINK("D:\python\英语学习\voices\"&amp;B108&amp;"_1.mp3","BrE")</f>
        <v/>
      </c>
      <c r="H108" s="18">
        <f>HYPERLINK("D:\python\英语学习\voices\"&amp;B108&amp;"_2.mp3","AmE")</f>
        <v/>
      </c>
      <c r="I108" s="18">
        <f>HYPERLINK("http://dict.youdao.com/w/"&amp;B108,"有道")</f>
        <v/>
      </c>
    </row>
    <row r="109">
      <c r="A109" s="1" t="inlineStr">
        <is>
          <t>important</t>
        </is>
      </c>
      <c r="B109" s="1" t="inlineStr">
        <is>
          <t>courteous</t>
        </is>
      </c>
      <c r="C109" s="7">
        <f>"adj. 有礼貌的；谦恭的"</f>
        <v/>
      </c>
      <c r="G109" s="18">
        <f>HYPERLINK("D:\python\英语学习\voices\"&amp;B109&amp;"_1.mp3","BrE")</f>
        <v/>
      </c>
      <c r="H109" s="18">
        <f>HYPERLINK("D:\python\英语学习\voices\"&amp;B109&amp;"_2.mp3","AmE")</f>
        <v/>
      </c>
      <c r="I109" s="18">
        <f>HYPERLINK("http://dict.youdao.com/w/"&amp;B109,"有道")</f>
        <v/>
      </c>
    </row>
    <row customHeight="1" ht="28.5" r="110">
      <c r="B110" s="1" t="inlineStr">
        <is>
          <t>ashore</t>
        </is>
      </c>
      <c r="C110" s="7">
        <f>"adv. 在岸上；向岸"&amp;CHAR(10)&amp;"adj. 在岸上的；在陆上的"</f>
        <v/>
      </c>
      <c r="G110" s="18">
        <f>HYPERLINK("D:\python\英语学习\voices\"&amp;B110&amp;"_1.mp3","BrE")</f>
        <v/>
      </c>
      <c r="H110" s="18">
        <f>HYPERLINK("D:\python\英语学习\voices\"&amp;B110&amp;"_2.mp3","AmE")</f>
        <v/>
      </c>
      <c r="I110" s="18">
        <f>HYPERLINK("http://dict.youdao.com/w/"&amp;B110,"有道")</f>
        <v/>
      </c>
    </row>
    <row customHeight="1" ht="42.75" r="111">
      <c r="B111" s="1" t="inlineStr">
        <is>
          <t>assault</t>
        </is>
      </c>
      <c r="C111" s="7">
        <f>"n. 攻击；袭击"&amp;CHAR(10)&amp;"vt. 攻击；袭击"&amp;CHAR(10)&amp;"vi. 袭击；动武"</f>
        <v/>
      </c>
      <c r="G111" s="18">
        <f>HYPERLINK("D:\python\英语学习\voices\"&amp;B111&amp;"_1.mp3","BrE")</f>
        <v/>
      </c>
      <c r="H111" s="18">
        <f>HYPERLINK("D:\python\英语学习\voices\"&amp;B111&amp;"_2.mp3","AmE")</f>
        <v/>
      </c>
      <c r="I111" s="18">
        <f>HYPERLINK("http://dict.youdao.com/w/"&amp;B111,"有道")</f>
        <v/>
      </c>
    </row>
    <row customHeight="1" ht="42.75" r="112">
      <c r="B112" s="1" t="inlineStr">
        <is>
          <t>assay</t>
        </is>
      </c>
      <c r="C112" s="7">
        <f>"n. 化验；试验"&amp;CHAR(10)&amp;"vt. 分析；化验；尝试"&amp;CHAR(10)&amp;"vi. 鉴定；经检验证明内含成分"</f>
        <v/>
      </c>
      <c r="G112" s="18">
        <f>HYPERLINK("D:\python\英语学习\voices\"&amp;B112&amp;"_1.mp3","BrE")</f>
        <v/>
      </c>
      <c r="H112" s="18">
        <f>HYPERLINK("D:\python\英语学习\voices\"&amp;B112&amp;"_2.mp3","AmE")</f>
        <v/>
      </c>
      <c r="I112" s="18">
        <f>HYPERLINK("http://dict.youdao.com/w/"&amp;B112,"有道")</f>
        <v/>
      </c>
    </row>
    <row customHeight="1" ht="28.5" r="113">
      <c r="B113" s="1" t="inlineStr">
        <is>
          <t>assembly</t>
        </is>
      </c>
      <c r="C113" s="7">
        <f>"n. 装配；集会，集合"&amp;CHAR(10)&amp;"n. 汇编，编译"</f>
        <v/>
      </c>
      <c r="G113" s="18">
        <f>HYPERLINK("D:\python\英语学习\voices\"&amp;B113&amp;"_1.mp3","BrE")</f>
        <v/>
      </c>
      <c r="H113" s="18">
        <f>HYPERLINK("D:\python\英语学习\voices\"&amp;B113&amp;"_2.mp3","AmE")</f>
        <v/>
      </c>
      <c r="I113" s="18">
        <f>HYPERLINK("http://dict.youdao.com/w/"&amp;B113,"有道")</f>
        <v/>
      </c>
    </row>
    <row customHeight="1" ht="28.5" r="114">
      <c r="A114" t="inlineStr">
        <is>
          <t>important</t>
        </is>
      </c>
      <c r="B114" s="1" t="inlineStr">
        <is>
          <t>decisive</t>
        </is>
      </c>
      <c r="C114" s="7">
        <f>"adj. 决定性的；果断的，坚定的"</f>
        <v/>
      </c>
      <c r="E114" s="16" t="inlineStr">
        <is>
          <t>be decisive of 对...有决定性</t>
        </is>
      </c>
      <c r="G114" s="18">
        <f>HYPERLINK("D:\python\英语学习\voices\"&amp;B114&amp;"_1.mp3","BrE")</f>
        <v/>
      </c>
      <c r="H114" s="18">
        <f>HYPERLINK("D:\python\英语学习\voices\"&amp;B114&amp;"_2.mp3","AmE")</f>
        <v/>
      </c>
      <c r="I114" s="18">
        <f>HYPERLINK("http://dict.youdao.com/w/"&amp;B114,"有道")</f>
        <v/>
      </c>
    </row>
    <row r="115">
      <c r="A115" s="1" t="inlineStr">
        <is>
          <t>unnecessary</t>
        </is>
      </c>
      <c r="B115" s="1" t="inlineStr">
        <is>
          <t>asthma</t>
        </is>
      </c>
      <c r="C115" s="7">
        <f>"n. [内科][中医] 哮喘，气喘"</f>
        <v/>
      </c>
      <c r="G115" s="18">
        <f>HYPERLINK("D:\python\英语学习\voices\"&amp;B115&amp;"_1.mp3","BrE")</f>
        <v/>
      </c>
      <c r="H115" s="18">
        <f>HYPERLINK("D:\python\英语学习\voices\"&amp;B115&amp;"_2.mp3","AmE")</f>
        <v/>
      </c>
      <c r="I115" s="18">
        <f>HYPERLINK("http://dict.youdao.com/w/"&amp;B115,"有道")</f>
        <v/>
      </c>
    </row>
    <row r="116">
      <c r="B116" s="1" t="inlineStr">
        <is>
          <t>astronomy</t>
        </is>
      </c>
      <c r="C116" s="7">
        <f>"n. 天文学"</f>
        <v/>
      </c>
      <c r="G116" s="18">
        <f>HYPERLINK("D:\python\英语学习\voices\"&amp;B116&amp;"_1.mp3","BrE")</f>
        <v/>
      </c>
      <c r="H116" s="18">
        <f>HYPERLINK("D:\python\英语学习\voices\"&amp;B116&amp;"_2.mp3","AmE")</f>
        <v/>
      </c>
      <c r="I116" s="18">
        <f>HYPERLINK("http://dict.youdao.com/w/"&amp;B116,"有道")</f>
        <v/>
      </c>
    </row>
    <row r="117">
      <c r="B117" s="1" t="inlineStr">
        <is>
          <t>asymptotic</t>
        </is>
      </c>
      <c r="C117" s="7">
        <f>"adj. 渐近的；渐近线的"</f>
        <v/>
      </c>
      <c r="G117" s="18">
        <f>HYPERLINK("D:\python\英语学习\voices\"&amp;B117&amp;"_1.mp3","BrE")</f>
        <v/>
      </c>
      <c r="H117" s="18">
        <f>HYPERLINK("D:\python\英语学习\voices\"&amp;B117&amp;"_2.mp3","AmE")</f>
        <v/>
      </c>
      <c r="I117" s="18">
        <f>HYPERLINK("http://dict.youdao.com/w/"&amp;B117,"有道")</f>
        <v/>
      </c>
    </row>
    <row customHeight="1" ht="42.75" r="118">
      <c r="B118" s="1" t="inlineStr">
        <is>
          <t>attain</t>
        </is>
      </c>
      <c r="C118" s="7">
        <f>"vt. 达到，实现；获得；到达"&amp;CHAR(10)&amp;"vi. 达到；获得；到达"&amp;CHAR(10)&amp;"n. 成就"</f>
        <v/>
      </c>
      <c r="G118" s="18">
        <f>HYPERLINK("D:\python\英语学习\voices\"&amp;B118&amp;"_1.mp3","BrE")</f>
        <v/>
      </c>
      <c r="H118" s="18">
        <f>HYPERLINK("D:\python\英语学习\voices\"&amp;B118&amp;"_2.mp3","AmE")</f>
        <v/>
      </c>
      <c r="I118" s="18">
        <f>HYPERLINK("http://dict.youdao.com/w/"&amp;B118,"有道")</f>
        <v/>
      </c>
    </row>
    <row customHeight="1" ht="28.5" r="119">
      <c r="B119" s="1" t="inlineStr">
        <is>
          <t>attendant</t>
        </is>
      </c>
      <c r="C119" s="7">
        <f>"adj. 伴随的；侍候的"&amp;CHAR(10)&amp;"n. 服务员，侍者；随员，陪从"</f>
        <v/>
      </c>
      <c r="G119" s="18">
        <f>HYPERLINK("D:\python\英语学习\voices\"&amp;B119&amp;"_1.mp3","BrE")</f>
        <v/>
      </c>
      <c r="H119" s="18">
        <f>HYPERLINK("D:\python\英语学习\voices\"&amp;B119&amp;"_2.mp3","AmE")</f>
        <v/>
      </c>
      <c r="I119" s="18">
        <f>HYPERLINK("http://dict.youdao.com/w/"&amp;B119,"有道")</f>
        <v/>
      </c>
    </row>
    <row r="120">
      <c r="B120" s="1" t="inlineStr">
        <is>
          <t>attendee</t>
        </is>
      </c>
      <c r="C120" s="7">
        <f>"n. 出席者；在场者"</f>
        <v/>
      </c>
      <c r="G120" s="18">
        <f>HYPERLINK("D:\python\英语学习\voices\"&amp;B120&amp;"_1.mp3","BrE")</f>
        <v/>
      </c>
      <c r="H120" s="18">
        <f>HYPERLINK("D:\python\英语学习\voices\"&amp;B120&amp;"_2.mp3","AmE")</f>
        <v/>
      </c>
      <c r="I120" s="18">
        <f>HYPERLINK("http://dict.youdao.com/w/"&amp;B120,"有道")</f>
        <v/>
      </c>
    </row>
    <row customHeight="1" ht="28.5" r="121">
      <c r="B121" s="1" t="inlineStr">
        <is>
          <t>attest</t>
        </is>
      </c>
      <c r="C121" s="7">
        <f>"vt. 证明；证实；为…作证"&amp;CHAR(10)&amp;"vi. 证明；作证"</f>
        <v/>
      </c>
      <c r="G121" s="18">
        <f>HYPERLINK("D:\python\英语学习\voices\"&amp;B121&amp;"_1.mp3","BrE")</f>
        <v/>
      </c>
      <c r="H121" s="18">
        <f>HYPERLINK("D:\python\英语学习\voices\"&amp;B121&amp;"_2.mp3","AmE")</f>
        <v/>
      </c>
      <c r="I121" s="18">
        <f>HYPERLINK("http://dict.youdao.com/w/"&amp;B121,"有道")</f>
        <v/>
      </c>
    </row>
    <row r="122">
      <c r="B122" s="1" t="inlineStr">
        <is>
          <t>attributable</t>
        </is>
      </c>
      <c r="C122" s="7">
        <f>"adj. 可归于…的；可归属的"</f>
        <v/>
      </c>
      <c r="G122" s="18">
        <f>HYPERLINK("D:\python\英语学习\voices\"&amp;B122&amp;"_1.mp3","BrE")</f>
        <v/>
      </c>
      <c r="H122" s="18">
        <f>HYPERLINK("D:\python\英语学习\voices\"&amp;B122&amp;"_2.mp3","AmE")</f>
        <v/>
      </c>
      <c r="I122" s="18">
        <f>HYPERLINK("http://dict.youdao.com/w/"&amp;B122,"有道")</f>
        <v/>
      </c>
    </row>
    <row customHeight="1" ht="42.75" r="123">
      <c r="B123" s="1" t="inlineStr">
        <is>
          <t>audition</t>
        </is>
      </c>
      <c r="C123" s="7">
        <f>"n. 听力，听觉；试听"&amp;CHAR(10)&amp;"vi. 试听；试音"&amp;CHAR(10)&amp;"vt. 对…进行面试；让…试唱"</f>
        <v/>
      </c>
      <c r="E123" t="inlineStr">
        <is>
          <t>audit审计n. 应该和这个词无关</t>
        </is>
      </c>
      <c r="G123" s="18">
        <f>HYPERLINK("D:\python\英语学习\voices\"&amp;B123&amp;"_1.mp3","BrE")</f>
        <v/>
      </c>
      <c r="H123" s="18">
        <f>HYPERLINK("D:\python\英语学习\voices\"&amp;B123&amp;"_2.mp3","AmE")</f>
        <v/>
      </c>
      <c r="I123" s="18">
        <f>HYPERLINK("http://dict.youdao.com/w/"&amp;B123,"有道")</f>
        <v/>
      </c>
    </row>
    <row customHeight="1" ht="42.75" r="124">
      <c r="B124" s="1" t="inlineStr">
        <is>
          <t>augment</t>
        </is>
      </c>
      <c r="C124" s="7">
        <f>"vi. 增加；增大"&amp;CHAR(10)&amp;"vt. 增加；增大"&amp;CHAR(10)&amp;"n. 增加；增大"</f>
        <v/>
      </c>
      <c r="G124" s="18">
        <f>HYPERLINK("D:\python\英语学习\voices\"&amp;B124&amp;"_1.mp3","BrE")</f>
        <v/>
      </c>
      <c r="H124" s="18">
        <f>HYPERLINK("D:\python\英语学习\voices\"&amp;B124&amp;"_2.mp3","AmE")</f>
        <v/>
      </c>
      <c r="I124" s="18">
        <f>HYPERLINK("http://dict.youdao.com/w/"&amp;B124,"有道")</f>
        <v/>
      </c>
    </row>
    <row customHeight="1" ht="28.5" r="125">
      <c r="B125" s="1" t="inlineStr">
        <is>
          <t>aural</t>
        </is>
      </c>
      <c r="C125" s="7">
        <f>"adj. 听觉的；耳的；气味的；先兆的"&amp;CHAR(10)&amp;"n. (Aural)人名；(西)奥拉尔"</f>
        <v/>
      </c>
      <c r="G125" s="18">
        <f>HYPERLINK("D:\python\英语学习\voices\"&amp;B125&amp;"_1.mp3","BrE")</f>
        <v/>
      </c>
      <c r="H125" s="18">
        <f>HYPERLINK("D:\python\英语学习\voices\"&amp;B125&amp;"_2.mp3","AmE")</f>
        <v/>
      </c>
      <c r="I125" s="18">
        <f>HYPERLINK("http://dict.youdao.com/w/"&amp;B125,"有道")</f>
        <v/>
      </c>
    </row>
    <row r="126">
      <c r="B126" s="1" t="inlineStr">
        <is>
          <t>autism</t>
        </is>
      </c>
      <c r="C126" s="7">
        <f>"n. [心理][内科] 孤独症；自我中心主义"</f>
        <v/>
      </c>
      <c r="G126" s="18">
        <f>HYPERLINK("D:\python\英语学习\voices\"&amp;B126&amp;"_1.mp3","BrE")</f>
        <v/>
      </c>
      <c r="H126" s="18">
        <f>HYPERLINK("D:\python\英语学习\voices\"&amp;B126&amp;"_2.mp3","AmE")</f>
        <v/>
      </c>
      <c r="I126" s="18">
        <f>HYPERLINK("http://dict.youdao.com/w/"&amp;B126,"有道")</f>
        <v/>
      </c>
    </row>
    <row customHeight="1" ht="28.5" r="127">
      <c r="B127" s="1" t="inlineStr">
        <is>
          <t>autograph</t>
        </is>
      </c>
      <c r="C127" s="7">
        <f>"n. 亲笔，手稿；亲笔签名"&amp;CHAR(10)&amp;"vt. 亲笔签名于…；亲笔书写"</f>
        <v/>
      </c>
      <c r="G127" s="18">
        <f>HYPERLINK("D:\python\英语学习\voices\"&amp;B127&amp;"_1.mp3","BrE")</f>
        <v/>
      </c>
      <c r="H127" s="18">
        <f>HYPERLINK("D:\python\英语学习\voices\"&amp;B127&amp;"_2.mp3","AmE")</f>
        <v/>
      </c>
      <c r="I127" s="18">
        <f>HYPERLINK("http://dict.youdao.com/w/"&amp;B127,"有道")</f>
        <v/>
      </c>
    </row>
    <row r="128">
      <c r="B128" s="1" t="inlineStr">
        <is>
          <t>automation</t>
        </is>
      </c>
      <c r="C128" s="7">
        <f>"n. 自动化；自动操作"</f>
        <v/>
      </c>
      <c r="G128" s="18">
        <f>HYPERLINK("D:\python\英语学习\voices\"&amp;B128&amp;"_1.mp3","BrE")</f>
        <v/>
      </c>
      <c r="H128" s="18">
        <f>HYPERLINK("D:\python\英语学习\voices\"&amp;B128&amp;"_2.mp3","AmE")</f>
        <v/>
      </c>
      <c r="I128" s="18">
        <f>HYPERLINK("http://dict.youdao.com/w/"&amp;B128,"有道")</f>
        <v/>
      </c>
    </row>
    <row customHeight="1" ht="28.5" r="129">
      <c r="B129" s="1" t="inlineStr">
        <is>
          <t>auxiliary</t>
        </is>
      </c>
      <c r="C129" s="7">
        <f>"n. 助动词；辅助者，辅助物；附属机构"&amp;CHAR(10)&amp;"adj. 辅助的；副的；附加的"</f>
        <v/>
      </c>
      <c r="G129" s="18">
        <f>HYPERLINK("D:\python\英语学习\voices\"&amp;B129&amp;"_1.mp3","BrE")</f>
        <v/>
      </c>
      <c r="H129" s="18">
        <f>HYPERLINK("D:\python\英语学习\voices\"&amp;B129&amp;"_2.mp3","AmE")</f>
        <v/>
      </c>
      <c r="I129" s="18">
        <f>HYPERLINK("http://dict.youdao.com/w/"&amp;B129,"有道")</f>
        <v/>
      </c>
    </row>
    <row customHeight="1" ht="42.75" r="130">
      <c r="B130" s="1" t="inlineStr">
        <is>
          <t>avail</t>
        </is>
      </c>
      <c r="C130" s="7">
        <f>"n. 效用，利益"&amp;CHAR(10)&amp;"vt. 有益于，有益于；使对某人有利。"&amp;CHAR(10)&amp;"vi. 有益于，有益于；使对某人有利。"</f>
        <v/>
      </c>
      <c r="G130" s="18">
        <f>HYPERLINK("D:\python\英语学习\voices\"&amp;B130&amp;"_1.mp3","BrE")</f>
        <v/>
      </c>
      <c r="H130" s="18">
        <f>HYPERLINK("D:\python\英语学习\voices\"&amp;B130&amp;"_2.mp3","AmE")</f>
        <v/>
      </c>
      <c r="I130" s="18">
        <f>HYPERLINK("http://dict.youdao.com/w/"&amp;B130,"有道")</f>
        <v/>
      </c>
    </row>
    <row customHeight="1" ht="42.75" r="131">
      <c r="B131" s="1" t="inlineStr">
        <is>
          <t>avalanche</t>
        </is>
      </c>
      <c r="C131" s="7">
        <f>"n. 雪崩"&amp;CHAR(10)&amp;"vt. 雪崩"&amp;CHAR(10)&amp;"vi. 崩塌"</f>
        <v/>
      </c>
      <c r="G131" s="18">
        <f>HYPERLINK("D:\python\英语学习\voices\"&amp;B131&amp;"_1.mp3","BrE")</f>
        <v/>
      </c>
      <c r="H131" s="18">
        <f>HYPERLINK("D:\python\英语学习\voices\"&amp;B131&amp;"_2.mp3","AmE")</f>
        <v/>
      </c>
      <c r="I131" s="18">
        <f>HYPERLINK("http://dict.youdao.com/w/"&amp;B131,"有道")</f>
        <v/>
      </c>
    </row>
    <row r="132">
      <c r="B132" s="1" t="inlineStr">
        <is>
          <t>avoidance</t>
        </is>
      </c>
      <c r="C132" s="7">
        <f>"n. 逃避；废止；职位空缺"</f>
        <v/>
      </c>
      <c r="G132" s="18">
        <f>HYPERLINK("D:\python\英语学习\voices\"&amp;B132&amp;"_1.mp3","BrE")</f>
        <v/>
      </c>
      <c r="H132" s="18">
        <f>HYPERLINK("D:\python\英语学习\voices\"&amp;B132&amp;"_2.mp3","AmE")</f>
        <v/>
      </c>
      <c r="I132" s="18">
        <f>HYPERLINK("http://dict.youdao.com/w/"&amp;B132,"有道")</f>
        <v/>
      </c>
    </row>
    <row customHeight="1" ht="42.75" r="133">
      <c r="B133" s="1" t="inlineStr">
        <is>
          <t>awake</t>
        </is>
      </c>
      <c r="C133" s="7">
        <f>"vi. 觉醒，意识到；醒来；被唤起"&amp;CHAR(10)&amp;"vt. 唤醒；使觉醒；激起，唤起"&amp;CHAR(10)&amp;"adj. 醒着的"</f>
        <v/>
      </c>
      <c r="E133" s="6" t="inlineStr">
        <is>
          <t>可作动词</t>
        </is>
      </c>
      <c r="G133" s="18">
        <f>HYPERLINK("D:\python\英语学习\voices\"&amp;B133&amp;"_1.mp3","BrE")</f>
        <v/>
      </c>
      <c r="H133" s="18">
        <f>HYPERLINK("D:\python\英语学习\voices\"&amp;B133&amp;"_2.mp3","AmE")</f>
        <v/>
      </c>
      <c r="I133" s="18">
        <f>HYPERLINK("http://dict.youdao.com/w/"&amp;B133,"有道")</f>
        <v/>
      </c>
    </row>
    <row customHeight="1" ht="42.75" r="134">
      <c r="B134" s="1" t="inlineStr">
        <is>
          <t>awe</t>
        </is>
      </c>
      <c r="C134" s="7">
        <f>"vt. 使敬畏；使畏怯"&amp;CHAR(10)&amp;"n. 敬畏"&amp;CHAR(10)&amp;"n. (Awe)人名；(德)阿韦"</f>
        <v/>
      </c>
      <c r="G134" s="18">
        <f>HYPERLINK("D:\python\英语学习\voices\"&amp;B134&amp;"_1.mp3","BrE")</f>
        <v/>
      </c>
      <c r="H134" s="18">
        <f>HYPERLINK("D:\python\英语学习\voices\"&amp;B134&amp;"_2.mp3","AmE")</f>
        <v/>
      </c>
      <c r="I134" s="18">
        <f>HYPERLINK("http://dict.youdao.com/w/"&amp;B134,"有道")</f>
        <v/>
      </c>
    </row>
    <row r="135">
      <c r="B135" s="1" t="inlineStr">
        <is>
          <t>axiom</t>
        </is>
      </c>
      <c r="C135" s="7">
        <f>"n. [数] 公理；格言；自明之理"</f>
        <v/>
      </c>
      <c r="G135" s="18">
        <f>HYPERLINK("D:\python\英语学习\voices\"&amp;B135&amp;"_1.mp3","BrE")</f>
        <v/>
      </c>
      <c r="H135" s="18">
        <f>HYPERLINK("D:\python\英语学习\voices\"&amp;B135&amp;"_2.mp3","AmE")</f>
        <v/>
      </c>
      <c r="I135" s="18">
        <f>HYPERLINK("http://dict.youdao.com/w/"&amp;B135,"有道")</f>
        <v/>
      </c>
    </row>
    <row customHeight="1" ht="28.5" r="136">
      <c r="B136" s="1" t="inlineStr">
        <is>
          <t>bachelor</t>
        </is>
      </c>
      <c r="C136" s="7">
        <f>"n. 学士；单身汉；（尚未交配的）小雄兽"&amp;CHAR(10)&amp;"n. (Bachelor)人名；(英)巴彻勒"</f>
        <v/>
      </c>
      <c r="E136" s="16" t="inlineStr">
        <is>
          <t>注意拼写</t>
        </is>
      </c>
      <c r="G136" s="18">
        <f>HYPERLINK("D:\python\英语学习\voices\"&amp;B136&amp;"_1.mp3","BrE")</f>
        <v/>
      </c>
      <c r="H136" s="18">
        <f>HYPERLINK("D:\python\英语学习\voices\"&amp;B136&amp;"_2.mp3","AmE")</f>
        <v/>
      </c>
      <c r="I136" s="18">
        <f>HYPERLINK("http://dict.youdao.com/w/"&amp;B136,"有道")</f>
        <v/>
      </c>
    </row>
    <row r="137">
      <c r="B137" s="1" t="inlineStr">
        <is>
          <t>backbone</t>
        </is>
      </c>
      <c r="C137" s="7">
        <f>"n. 支柱；主干网；决心，毅力；脊椎"</f>
        <v/>
      </c>
      <c r="G137" s="18">
        <f>HYPERLINK("D:\python\英语学习\voices\"&amp;B137&amp;"_1.mp3","BrE")</f>
        <v/>
      </c>
      <c r="H137" s="18">
        <f>HYPERLINK("D:\python\英语学习\voices\"&amp;B137&amp;"_2.mp3","AmE")</f>
        <v/>
      </c>
      <c r="I137" s="18">
        <f>HYPERLINK("http://dict.youdao.com/w/"&amp;B137,"有道")</f>
        <v/>
      </c>
    </row>
    <row customHeight="1" ht="28.5" r="138">
      <c r="B138" s="1" t="inlineStr">
        <is>
          <t>backlash</t>
        </is>
      </c>
      <c r="C138" s="7">
        <f>"n. 反冲；强烈抵制"&amp;CHAR(10)&amp;"vt. 强烈反对；发生后冲"</f>
        <v/>
      </c>
      <c r="G138" s="18">
        <f>HYPERLINK("D:\python\英语学习\voices\"&amp;B138&amp;"_1.mp3","BrE")</f>
        <v/>
      </c>
      <c r="H138" s="18">
        <f>HYPERLINK("D:\python\英语学习\voices\"&amp;B138&amp;"_2.mp3","AmE")</f>
        <v/>
      </c>
      <c r="I138" s="18">
        <f>HYPERLINK("http://dict.youdao.com/w/"&amp;B138,"有道")</f>
        <v/>
      </c>
    </row>
    <row customHeight="1" ht="28.5" r="139">
      <c r="B139" s="1" t="inlineStr">
        <is>
          <t>badge</t>
        </is>
      </c>
      <c r="C139" s="7">
        <f>"n. 徽章；证章；标记"&amp;CHAR(10)&amp;"vt. 授给…徽章"</f>
        <v/>
      </c>
      <c r="G139" s="18">
        <f>HYPERLINK("D:\python\英语学习\voices\"&amp;B139&amp;"_1.mp3","BrE")</f>
        <v/>
      </c>
      <c r="H139" s="18">
        <f>HYPERLINK("D:\python\英语学习\voices\"&amp;B139&amp;"_2.mp3","AmE")</f>
        <v/>
      </c>
      <c r="I139" s="18">
        <f>HYPERLINK("http://dict.youdao.com/w/"&amp;B139,"有道")</f>
        <v/>
      </c>
    </row>
    <row customHeight="1" ht="42.75" r="140">
      <c r="B140" s="1" t="inlineStr">
        <is>
          <t>baffle</t>
        </is>
      </c>
      <c r="C140" s="7">
        <f>"vt. 使…困惑；使…受挫折；用挡板控制"&amp;CHAR(10)&amp;"n. 挡板；困惑"&amp;CHAR(10)&amp;"vi. 做徒劳挣扎"</f>
        <v/>
      </c>
      <c r="G140" s="18">
        <f>HYPERLINK("D:\python\英语学习\voices\"&amp;B140&amp;"_1.mp3","BrE")</f>
        <v/>
      </c>
      <c r="H140" s="18">
        <f>HYPERLINK("D:\python\英语学习\voices\"&amp;B140&amp;"_2.mp3","AmE")</f>
        <v/>
      </c>
      <c r="I140" s="18">
        <f>HYPERLINK("http://dict.youdao.com/w/"&amp;B140,"有道")</f>
        <v/>
      </c>
    </row>
    <row r="141">
      <c r="B141" s="1" t="inlineStr">
        <is>
          <t>bailout</t>
        </is>
      </c>
      <c r="C141" s="7">
        <f>"n. 紧急救助；跳伞"</f>
        <v/>
      </c>
      <c r="G141" s="18">
        <f>HYPERLINK("D:\python\英语学习\voices\"&amp;B141&amp;"_1.mp3","BrE")</f>
        <v/>
      </c>
      <c r="H141" s="18">
        <f>HYPERLINK("D:\python\英语学习\voices\"&amp;B141&amp;"_2.mp3","AmE")</f>
        <v/>
      </c>
      <c r="I141" s="18">
        <f>HYPERLINK("http://dict.youdao.com/w/"&amp;B141,"有道")</f>
        <v/>
      </c>
    </row>
    <row customHeight="1" ht="57" r="142">
      <c r="B142" s="1" t="inlineStr">
        <is>
          <t>bait</t>
        </is>
      </c>
      <c r="C142" s="7">
        <f>"vt. 引诱；在…中放诱饵；折磨"&amp;CHAR(10)&amp;"n. 饵；诱饵"&amp;CHAR(10)&amp;"vi. 中途休息"&amp;CHAR(10)&amp;"n. (Bait)人名；(意)巴伊特"</f>
        <v/>
      </c>
      <c r="G142" s="18">
        <f>HYPERLINK("D:\python\英语学习\voices\"&amp;B142&amp;"_1.mp3","BrE")</f>
        <v/>
      </c>
      <c r="H142" s="18">
        <f>HYPERLINK("D:\python\英语学习\voices\"&amp;B142&amp;"_2.mp3","AmE")</f>
        <v/>
      </c>
      <c r="I142" s="18">
        <f>HYPERLINK("http://dict.youdao.com/w/"&amp;B142,"有道")</f>
        <v/>
      </c>
    </row>
    <row customHeight="1" ht="28.5" r="143">
      <c r="B143" s="1" t="inlineStr">
        <is>
          <t>ballet</t>
        </is>
      </c>
      <c r="C143" s="7">
        <f>"n. 芭蕾舞剧；芭蕾舞乐曲"&amp;CHAR(10)&amp;"n. (Ballet)人名；(西)巴列特；(法)巴莱"</f>
        <v/>
      </c>
      <c r="E143" s="6" t="inlineStr">
        <is>
          <t>注意发音</t>
        </is>
      </c>
      <c r="G143" s="18">
        <f>HYPERLINK("D:\python\英语学习\voices\"&amp;B143&amp;"_1.mp3","BrE")</f>
        <v/>
      </c>
      <c r="H143" s="18">
        <f>HYPERLINK("D:\python\英语学习\voices\"&amp;B143&amp;"_2.mp3","AmE")</f>
        <v/>
      </c>
      <c r="I143" s="18">
        <f>HYPERLINK("http://dict.youdao.com/w/"&amp;B143,"有道")</f>
        <v/>
      </c>
    </row>
    <row r="144">
      <c r="B144" s="1" t="inlineStr">
        <is>
          <t>bandit</t>
        </is>
      </c>
      <c r="C144" s="7">
        <f>"n. 强盗，土匪；恶棍；敲诈者"</f>
        <v/>
      </c>
      <c r="G144" s="18">
        <f>HYPERLINK("D:\python\英语学习\voices\"&amp;B144&amp;"_1.mp3","BrE")</f>
        <v/>
      </c>
      <c r="H144" s="18">
        <f>HYPERLINK("D:\python\英语学习\voices\"&amp;B144&amp;"_2.mp3","AmE")</f>
        <v/>
      </c>
      <c r="I144" s="18">
        <f>HYPERLINK("http://dict.youdao.com/w/"&amp;B144,"有道")</f>
        <v/>
      </c>
    </row>
    <row customHeight="1" ht="57" r="145">
      <c r="B145" s="1" t="inlineStr">
        <is>
          <t>banquet</t>
        </is>
      </c>
      <c r="C145" s="7">
        <f>"n. 宴会，盛宴；宴请，款待"&amp;CHAR(10)&amp;"vt. 宴请，设宴款待"&amp;CHAR(10)&amp;"vi. 参加宴会"&amp;CHAR(10)&amp;"n. (Banquet)人名；(法)邦凯；(西)班克特"</f>
        <v/>
      </c>
      <c r="E145" t="inlineStr">
        <is>
          <t>wedding banquet</t>
        </is>
      </c>
      <c r="G145" s="18">
        <f>HYPERLINK("D:\python\英语学习\voices\"&amp;B145&amp;"_1.mp3","BrE")</f>
        <v/>
      </c>
      <c r="H145" s="18">
        <f>HYPERLINK("D:\python\英语学习\voices\"&amp;B145&amp;"_2.mp3","AmE")</f>
        <v/>
      </c>
      <c r="I145" s="18">
        <f>HYPERLINK("http://dict.youdao.com/w/"&amp;B145,"有道")</f>
        <v/>
      </c>
    </row>
    <row customHeight="1" ht="71.25" r="146">
      <c r="B146" s="1" t="inlineStr">
        <is>
          <t>barge</t>
        </is>
      </c>
      <c r="C146" s="7">
        <f>"vi. 蹒跚；闯入"&amp;CHAR(10)&amp;"n. 驳船；游艇"&amp;CHAR(10)&amp;"vt. 用船运输；蛮不讲理地闯入或打扰某事物"&amp;CHAR(10)&amp;"n. (Barge)人名；(英)巴奇；(德)巴格；(西)巴尔赫；(法、葡)巴尔热"</f>
        <v/>
      </c>
      <c r="G146" s="18">
        <f>HYPERLINK("D:\python\英语学习\voices\"&amp;B146&amp;"_1.mp3","BrE")</f>
        <v/>
      </c>
      <c r="H146" s="18">
        <f>HYPERLINK("D:\python\英语学习\voices\"&amp;B146&amp;"_2.mp3","AmE")</f>
        <v/>
      </c>
      <c r="I146" s="18">
        <f>HYPERLINK("http://dict.youdao.com/w/"&amp;B146,"有道")</f>
        <v/>
      </c>
    </row>
    <row customHeight="1" ht="28.5" r="147">
      <c r="B147" s="1" t="inlineStr">
        <is>
          <t>barley</t>
        </is>
      </c>
      <c r="C147" s="7">
        <f>"n. 大麦"&amp;CHAR(10)&amp;"n. (Barley)人名；(英)巴利"</f>
        <v/>
      </c>
      <c r="G147" s="18">
        <f>HYPERLINK("D:\python\英语学习\voices\"&amp;B147&amp;"_1.mp3","BrE")</f>
        <v/>
      </c>
      <c r="H147" s="18">
        <f>HYPERLINK("D:\python\英语学习\voices\"&amp;B147&amp;"_2.mp3","AmE")</f>
        <v/>
      </c>
      <c r="I147" s="18">
        <f>HYPERLINK("http://dict.youdao.com/w/"&amp;B147,"有道")</f>
        <v/>
      </c>
    </row>
    <row customHeight="1" ht="57" r="148">
      <c r="B148" s="1" t="inlineStr">
        <is>
          <t>barren</t>
        </is>
      </c>
      <c r="C148" s="7">
        <f>"adj. 贫瘠的；不生育的；无益的；沉闷无趣的；空洞的"&amp;CHAR(10)&amp;"n. 荒地"&amp;CHAR(10)&amp;"n. (Barren)人名；(西、英)巴伦"</f>
        <v/>
      </c>
      <c r="G148" s="18">
        <f>HYPERLINK("D:\python\英语学习\voices\"&amp;B148&amp;"_1.mp3","BrE")</f>
        <v/>
      </c>
      <c r="H148" s="18">
        <f>HYPERLINK("D:\python\英语学习\voices\"&amp;B148&amp;"_2.mp3","AmE")</f>
        <v/>
      </c>
      <c r="I148" s="18">
        <f>HYPERLINK("http://dict.youdao.com/w/"&amp;B148,"有道")</f>
        <v/>
      </c>
    </row>
    <row r="149">
      <c r="B149" s="1" t="inlineStr">
        <is>
          <t>basal</t>
        </is>
      </c>
      <c r="C149" s="7">
        <f>"adj. 基部的；基础的"</f>
        <v/>
      </c>
      <c r="G149" s="18">
        <f>HYPERLINK("D:\python\英语学习\voices\"&amp;B149&amp;"_1.mp3","BrE")</f>
        <v/>
      </c>
      <c r="H149" s="18">
        <f>HYPERLINK("D:\python\英语学习\voices\"&amp;B149&amp;"_2.mp3","AmE")</f>
        <v/>
      </c>
      <c r="I149" s="18">
        <f>HYPERLINK("http://dict.youdao.com/w/"&amp;B149,"有道")</f>
        <v/>
      </c>
    </row>
    <row customHeight="1" ht="42.75" r="150">
      <c r="B150" s="1" t="inlineStr">
        <is>
          <t>bash</t>
        </is>
      </c>
      <c r="C150" s="7">
        <f>"vt. 猛击，痛击；怒殴"&amp;CHAR(10)&amp;"n. 猛烈的一击，痛击"&amp;CHAR(10)&amp;"n. (Bash)人名；(英、俄、巴基)巴什"</f>
        <v/>
      </c>
      <c r="G150" s="18">
        <f>HYPERLINK("D:\python\英语学习\voices\"&amp;B150&amp;"_1.mp3","BrE")</f>
        <v/>
      </c>
      <c r="H150" s="18">
        <f>HYPERLINK("D:\python\英语学习\voices\"&amp;B150&amp;"_2.mp3","AmE")</f>
        <v/>
      </c>
      <c r="I150" s="18">
        <f>HYPERLINK("http://dict.youdao.com/w/"&amp;B150,"有道")</f>
        <v/>
      </c>
    </row>
    <row r="151">
      <c r="B151" s="1" t="inlineStr">
        <is>
          <t>battalion</t>
        </is>
      </c>
      <c r="C151" s="7">
        <f>"n. 营，军营；军队，部队"</f>
        <v/>
      </c>
      <c r="G151" s="18">
        <f>HYPERLINK("D:\python\英语学习\voices\"&amp;B151&amp;"_1.mp3","BrE")</f>
        <v/>
      </c>
      <c r="H151" s="18">
        <f>HYPERLINK("D:\python\英语学习\voices\"&amp;B151&amp;"_2.mp3","AmE")</f>
        <v/>
      </c>
      <c r="I151" s="18">
        <f>HYPERLINK("http://dict.youdao.com/w/"&amp;B151,"有道")</f>
        <v/>
      </c>
    </row>
    <row r="152">
      <c r="B152" s="1" t="inlineStr">
        <is>
          <t>bazaar</t>
        </is>
      </c>
      <c r="C152" s="7">
        <f>"n. 集市；市场；义卖市场"</f>
        <v/>
      </c>
      <c r="G152" s="18">
        <f>HYPERLINK("D:\python\英语学习\voices\"&amp;B152&amp;"_1.mp3","BrE")</f>
        <v/>
      </c>
      <c r="H152" s="18">
        <f>HYPERLINK("D:\python\英语学习\voices\"&amp;B152&amp;"_2.mp3","AmE")</f>
        <v/>
      </c>
      <c r="I152" s="18">
        <f>HYPERLINK("http://dict.youdao.com/w/"&amp;B152,"有道")</f>
        <v/>
      </c>
    </row>
    <row customHeight="1" ht="42.75" r="153">
      <c r="B153" s="1" t="inlineStr">
        <is>
          <t>bead</t>
        </is>
      </c>
      <c r="C153" s="7">
        <f>"n. 珠子；滴；念珠"&amp;CHAR(10)&amp;"vi. 形成珠状，起泡"&amp;CHAR(10)&amp;"vt. 用珠装饰；使成串珠状"</f>
        <v/>
      </c>
      <c r="G153" s="18">
        <f>HYPERLINK("D:\python\英语学习\voices\"&amp;B153&amp;"_1.mp3","BrE")</f>
        <v/>
      </c>
      <c r="H153" s="18">
        <f>HYPERLINK("D:\python\英语学习\voices\"&amp;B153&amp;"_2.mp3","AmE")</f>
        <v/>
      </c>
      <c r="I153" s="18">
        <f>HYPERLINK("http://dict.youdao.com/w/"&amp;B153,"有道")</f>
        <v/>
      </c>
    </row>
    <row r="154">
      <c r="B154" s="1" t="inlineStr">
        <is>
          <t>bedrock</t>
        </is>
      </c>
      <c r="C154" s="7">
        <f>"n. [地质] 基岩；根底；基本原理"</f>
        <v/>
      </c>
      <c r="D154" s="6" t="inlineStr">
        <is>
          <t>mc的基岩-坚实基础、事实、原则</t>
        </is>
      </c>
      <c r="G154" s="18">
        <f>HYPERLINK("D:\python\英语学习\voices\"&amp;B154&amp;"_1.mp3","BrE")</f>
        <v/>
      </c>
      <c r="H154" s="18">
        <f>HYPERLINK("D:\python\英语学习\voices\"&amp;B154&amp;"_2.mp3","AmE")</f>
        <v/>
      </c>
      <c r="I154" s="18">
        <f>HYPERLINK("http://dict.youdao.com/w/"&amp;B154,"有道")</f>
        <v/>
      </c>
    </row>
    <row r="155">
      <c r="A155" s="1" t="inlineStr">
        <is>
          <t>unnecessary</t>
        </is>
      </c>
      <c r="B155" s="1" t="inlineStr">
        <is>
          <t>beetroot</t>
        </is>
      </c>
      <c r="C155" s="7">
        <f>"n. 甜菜的根"</f>
        <v/>
      </c>
      <c r="G155" s="18">
        <f>HYPERLINK("D:\python\英语学习\voices\"&amp;B155&amp;"_1.mp3","BrE")</f>
        <v/>
      </c>
      <c r="H155" s="18">
        <f>HYPERLINK("D:\python\英语学习\voices\"&amp;B155&amp;"_2.mp3","AmE")</f>
        <v/>
      </c>
      <c r="I155" s="18">
        <f>HYPERLINK("http://dict.youdao.com/w/"&amp;B155,"有道")</f>
        <v/>
      </c>
    </row>
    <row customHeight="1" ht="42.75" r="156">
      <c r="A156" t="inlineStr">
        <is>
          <t>important</t>
        </is>
      </c>
      <c r="B156" s="1" t="inlineStr">
        <is>
          <t>differ</t>
        </is>
      </c>
      <c r="C156" s="7">
        <f>"vt. 使…相异；使…不同"&amp;CHAR(10)&amp;"vi. 相异；意见分歧"&amp;CHAR(10)&amp;"n. (Differ)人名；(法)迪费"</f>
        <v/>
      </c>
      <c r="E156" s="6" t="inlineStr">
        <is>
          <t>differ with 在意见上有分歧</t>
        </is>
      </c>
      <c r="G156" s="18">
        <f>HYPERLINK("D:\python\英语学习\voices\"&amp;B156&amp;"_1.mp3","BrE")</f>
        <v/>
      </c>
      <c r="H156" s="18">
        <f>HYPERLINK("D:\python\英语学习\voices\"&amp;B156&amp;"_2.mp3","AmE")</f>
        <v/>
      </c>
      <c r="I156" s="18">
        <f>HYPERLINK("http://dict.youdao.com/w/"&amp;B156,"有道")</f>
        <v/>
      </c>
    </row>
    <row customHeight="1" ht="57" r="157">
      <c r="B157" s="1" t="inlineStr">
        <is>
          <t>belly</t>
        </is>
      </c>
      <c r="C157" s="7">
        <f>"n. 腹部；胃；食欲"&amp;CHAR(10)&amp;"vi. 涨满；鼓起"&amp;CHAR(10)&amp;"vt. 使鼓起"&amp;CHAR(10)&amp;"n. (Belly)人名；(法、意、葡)贝利"</f>
        <v/>
      </c>
      <c r="G157" s="18">
        <f>HYPERLINK("D:\python\英语学习\voices\"&amp;B157&amp;"_1.mp3","BrE")</f>
        <v/>
      </c>
      <c r="H157" s="18">
        <f>HYPERLINK("D:\python\英语学习\voices\"&amp;B157&amp;"_2.mp3","AmE")</f>
        <v/>
      </c>
      <c r="I157" s="18">
        <f>HYPERLINK("http://dict.youdao.com/w/"&amp;B157,"有道")</f>
        <v/>
      </c>
    </row>
    <row customHeight="1" ht="28.5" r="158">
      <c r="A158" s="1" t="inlineStr">
        <is>
          <t>important</t>
        </is>
      </c>
      <c r="B158" s="1" t="inlineStr">
        <is>
          <t>diligent</t>
        </is>
      </c>
      <c r="C158" s="7">
        <f>"adj. 勤勉的；用功的，费尽心血的"&amp;CHAR(10)&amp;"n. (Diligent)人名；(法)迪利让"</f>
        <v/>
      </c>
      <c r="G158" s="18">
        <f>HYPERLINK("D:\python\英语学习\voices\"&amp;B158&amp;"_1.mp3","BrE")</f>
        <v/>
      </c>
      <c r="H158" s="18">
        <f>HYPERLINK("D:\python\英语学习\voices\"&amp;B158&amp;"_2.mp3","AmE")</f>
        <v/>
      </c>
      <c r="I158" s="18">
        <f>HYPERLINK("http://dict.youdao.com/w/"&amp;B158,"有道")</f>
        <v/>
      </c>
    </row>
    <row r="159">
      <c r="B159" s="1" t="inlineStr">
        <is>
          <t>bestow</t>
        </is>
      </c>
      <c r="C159" s="7">
        <f>"vt. 使用；授予；放置；留宿"</f>
        <v/>
      </c>
      <c r="G159" s="18">
        <f>HYPERLINK("D:\python\英语学习\voices\"&amp;B159&amp;"_1.mp3","BrE")</f>
        <v/>
      </c>
      <c r="H159" s="18">
        <f>HYPERLINK("D:\python\英语学习\voices\"&amp;B159&amp;"_2.mp3","AmE")</f>
        <v/>
      </c>
      <c r="I159" s="18">
        <f>HYPERLINK("http://dict.youdao.com/w/"&amp;B159,"有道")</f>
        <v/>
      </c>
    </row>
    <row customHeight="1" ht="42.75" r="160">
      <c r="B160" s="1" t="inlineStr">
        <is>
          <t>beta</t>
        </is>
      </c>
      <c r="C160" s="7">
        <f>"n. 贝它（希腊字母表的第二个字母）"&amp;CHAR(10)&amp;"n. (Beta)人名；(日)部田(姓)；(土)贝塔；(匈)拜陶"</f>
        <v/>
      </c>
      <c r="G160" s="18">
        <f>HYPERLINK("D:\python\英语学习\voices\"&amp;B160&amp;"_1.mp3","BrE")</f>
        <v/>
      </c>
      <c r="H160" s="18">
        <f>HYPERLINK("D:\python\英语学习\voices\"&amp;B160&amp;"_2.mp3","AmE")</f>
        <v/>
      </c>
      <c r="I160" s="18">
        <f>HYPERLINK("http://dict.youdao.com/w/"&amp;B160,"有道")</f>
        <v/>
      </c>
    </row>
    <row r="161">
      <c r="B161" s="1" t="inlineStr">
        <is>
          <t>beverage</t>
        </is>
      </c>
      <c r="C161" s="7">
        <f>"n. 饮料"</f>
        <v/>
      </c>
      <c r="E161" s="6" t="inlineStr">
        <is>
          <t>除水以外的所有饮料，包括酒
food and beverage industry餐饮业</t>
        </is>
      </c>
      <c r="G161" s="18">
        <f>HYPERLINK("D:\python\英语学习\voices\"&amp;B161&amp;"_1.mp3","BrE")</f>
        <v/>
      </c>
      <c r="H161" s="18">
        <f>HYPERLINK("D:\python\英语学习\voices\"&amp;B161&amp;"_2.mp3","AmE")</f>
        <v/>
      </c>
      <c r="I161" s="18">
        <f>HYPERLINK("http://dict.youdao.com/w/"&amp;B161,"有道")</f>
        <v/>
      </c>
    </row>
    <row customHeight="1" ht="28.5" r="162">
      <c r="B162" s="1" t="inlineStr">
        <is>
          <t>beware</t>
        </is>
      </c>
      <c r="C162" s="7">
        <f>"vi. 当心，小心"&amp;CHAR(10)&amp;"vt. 注意，当心；提防"</f>
        <v/>
      </c>
      <c r="G162" s="18">
        <f>HYPERLINK("D:\python\英语学习\voices\"&amp;B162&amp;"_1.mp3","BrE")</f>
        <v/>
      </c>
      <c r="H162" s="18">
        <f>HYPERLINK("D:\python\英语学习\voices\"&amp;B162&amp;"_2.mp3","AmE")</f>
        <v/>
      </c>
      <c r="I162" s="18">
        <f>HYPERLINK("http://dict.youdao.com/w/"&amp;B162,"有道")</f>
        <v/>
      </c>
    </row>
    <row r="163">
      <c r="B163" s="1" t="inlineStr">
        <is>
          <t>bewilder</t>
        </is>
      </c>
      <c r="C163" s="7">
        <f>"vt. 使迷惑，使不知所措"</f>
        <v/>
      </c>
      <c r="G163" s="18">
        <f>HYPERLINK("D:\python\英语学习\voices\"&amp;B163&amp;"_1.mp3","BrE")</f>
        <v/>
      </c>
      <c r="H163" s="18">
        <f>HYPERLINK("D:\python\英语学习\voices\"&amp;B163&amp;"_2.mp3","AmE")</f>
        <v/>
      </c>
      <c r="I163" s="18">
        <f>HYPERLINK("http://dict.youdao.com/w/"&amp;B163,"有道")</f>
        <v/>
      </c>
    </row>
    <row r="164">
      <c r="B164" s="1" t="inlineStr">
        <is>
          <t>bibliography</t>
        </is>
      </c>
      <c r="C164" s="7">
        <f>"n. 参考书目；文献目录"</f>
        <v/>
      </c>
      <c r="G164" s="18">
        <f>HYPERLINK("D:\python\英语学习\voices\"&amp;B164&amp;"_1.mp3","BrE")</f>
        <v/>
      </c>
      <c r="H164" s="18">
        <f>HYPERLINK("D:\python\英语学习\voices\"&amp;B164&amp;"_2.mp3","AmE")</f>
        <v/>
      </c>
      <c r="I164" s="18">
        <f>HYPERLINK("http://dict.youdao.com/w/"&amp;B164,"有道")</f>
        <v/>
      </c>
    </row>
    <row customHeight="1" ht="57" r="165">
      <c r="B165" s="1" t="inlineStr">
        <is>
          <t>bid</t>
        </is>
      </c>
      <c r="C165" s="7">
        <f>"vt. 投标；出价；表示；吩咐"&amp;CHAR(10)&amp;"vi. 投标；吩咐"&amp;CHAR(10)&amp;"n. 出价；叫牌；努力争取"&amp;CHAR(10)&amp;"n. (Bid)人名；(俄)比德"</f>
        <v/>
      </c>
      <c r="G165" s="18">
        <f>HYPERLINK("D:\python\英语学习\voices\"&amp;B165&amp;"_1.mp3","BrE")</f>
        <v/>
      </c>
      <c r="H165" s="18">
        <f>HYPERLINK("D:\python\英语学习\voices\"&amp;B165&amp;"_2.mp3","AmE")</f>
        <v/>
      </c>
      <c r="I165" s="18">
        <f>HYPERLINK("http://dict.youdao.com/w/"&amp;B165,"有道")</f>
        <v/>
      </c>
    </row>
    <row customHeight="1" ht="28.5" r="166">
      <c r="B166" s="1" t="inlineStr">
        <is>
          <t>bile</t>
        </is>
      </c>
      <c r="C166" s="7">
        <f>"n. 胆汁；愤怒"&amp;CHAR(10)&amp;"n. (Bile)人名；(意、塞、土、索)比莱"</f>
        <v/>
      </c>
      <c r="G166" s="18">
        <f>HYPERLINK("D:\python\英语学习\voices\"&amp;B166&amp;"_1.mp3","BrE")</f>
        <v/>
      </c>
      <c r="H166" s="18">
        <f>HYPERLINK("D:\python\英语学习\voices\"&amp;B166&amp;"_2.mp3","AmE")</f>
        <v/>
      </c>
      <c r="I166" s="18">
        <f>HYPERLINK("http://dict.youdao.com/w/"&amp;B166,"有道")</f>
        <v/>
      </c>
    </row>
    <row customHeight="1" ht="28.5" r="167">
      <c r="B167" s="1" t="inlineStr">
        <is>
          <t>bilingual</t>
        </is>
      </c>
      <c r="C167" s="7">
        <f>"adj. 双语的"&amp;CHAR(10)&amp;"n. 通两种语言的人"</f>
        <v/>
      </c>
      <c r="G167" s="18">
        <f>HYPERLINK("D:\python\英语学习\voices\"&amp;B167&amp;"_1.mp3","BrE")</f>
        <v/>
      </c>
      <c r="H167" s="18">
        <f>HYPERLINK("D:\python\英语学习\voices\"&amp;B167&amp;"_2.mp3","AmE")</f>
        <v/>
      </c>
      <c r="I167" s="18">
        <f>HYPERLINK("http://dict.youdao.com/w/"&amp;B167,"有道")</f>
        <v/>
      </c>
    </row>
    <row customHeight="1" ht="57" r="168">
      <c r="B168" s="1" t="inlineStr">
        <is>
          <t>bin</t>
        </is>
      </c>
      <c r="C168" s="7">
        <f>"n. 箱子，容器；二进制"&amp;CHAR(10)&amp;"vt. 把…放入箱中"&amp;CHAR(10)&amp;"n. (Bin)人名；(意、柬)宾；(日)敏(名)；(东南亚国家华语)民"</f>
        <v/>
      </c>
      <c r="G168" s="18">
        <f>HYPERLINK("D:\python\英语学习\voices\"&amp;B168&amp;"_1.mp3","BrE")</f>
        <v/>
      </c>
      <c r="H168" s="18">
        <f>HYPERLINK("D:\python\英语学习\voices\"&amp;B168&amp;"_2.mp3","AmE")</f>
        <v/>
      </c>
      <c r="I168" s="18">
        <f>HYPERLINK("http://dict.youdao.com/w/"&amp;B168,"有道")</f>
        <v/>
      </c>
    </row>
    <row customHeight="1" ht="28.5" r="169">
      <c r="A169" s="1" t="inlineStr">
        <is>
          <t>unnecessary</t>
        </is>
      </c>
      <c r="B169" s="1" t="inlineStr">
        <is>
          <t>binocular</t>
        </is>
      </c>
      <c r="C169" s="7">
        <f>"adj. [生物] 双眼的；双目并用的"&amp;CHAR(10)&amp;"n. 双筒望远镜"</f>
        <v/>
      </c>
      <c r="G169" s="18">
        <f>HYPERLINK("D:\python\英语学习\voices\"&amp;B169&amp;"_1.mp3","BrE")</f>
        <v/>
      </c>
      <c r="H169" s="18">
        <f>HYPERLINK("D:\python\英语学习\voices\"&amp;B169&amp;"_2.mp3","AmE")</f>
        <v/>
      </c>
      <c r="I169" s="18">
        <f>HYPERLINK("http://dict.youdao.com/w/"&amp;B169,"有道")</f>
        <v/>
      </c>
    </row>
    <row customHeight="1" ht="43.5" r="170">
      <c r="B170" s="1" t="inlineStr">
        <is>
          <t>biopsy</t>
        </is>
      </c>
      <c r="C170" s="7">
        <f>"n. 活组织检查；活组织切片检查；切片检查法"</f>
        <v/>
      </c>
      <c r="G170" s="18">
        <f>HYPERLINK("D:\python\英语学习\voices\"&amp;B170&amp;"_1.mp3","BrE")</f>
        <v/>
      </c>
      <c r="H170" s="18">
        <f>HYPERLINK("D:\python\英语学习\voices\"&amp;B170&amp;"_2.mp3","AmE")</f>
        <v/>
      </c>
      <c r="I170" s="18">
        <f>HYPERLINK("http://dict.youdao.com/w/"&amp;B170,"有道")</f>
        <v/>
      </c>
    </row>
    <row r="171">
      <c r="B171" s="1" t="inlineStr">
        <is>
          <t>bipolar</t>
        </is>
      </c>
      <c r="C171" s="7">
        <f>"adj. 有两极的，双极的"</f>
        <v/>
      </c>
      <c r="G171" s="18">
        <f>HYPERLINK("D:\python\英语学习\voices\"&amp;B171&amp;"_1.mp3","BrE")</f>
        <v/>
      </c>
      <c r="H171" s="18">
        <f>HYPERLINK("D:\python\英语学习\voices\"&amp;B171&amp;"_2.mp3","AmE")</f>
        <v/>
      </c>
      <c r="I171" s="18">
        <f>HYPERLINK("http://dict.youdao.com/w/"&amp;B171,"有道")</f>
        <v/>
      </c>
    </row>
    <row r="172">
      <c r="B172" s="1" t="inlineStr">
        <is>
          <t>bitterly</t>
        </is>
      </c>
      <c r="C172" s="7">
        <f>"adv. 苦涩地，悲痛地；残酷地；怨恨地"</f>
        <v/>
      </c>
      <c r="G172" s="18">
        <f>HYPERLINK("D:\python\英语学习\voices\"&amp;B172&amp;"_1.mp3","BrE")</f>
        <v/>
      </c>
      <c r="H172" s="18">
        <f>HYPERLINK("D:\python\英语学习\voices\"&amp;B172&amp;"_2.mp3","AmE")</f>
        <v/>
      </c>
      <c r="I172" s="18">
        <f>HYPERLINK("http://dict.youdao.com/w/"&amp;B172,"有道")</f>
        <v/>
      </c>
    </row>
    <row r="173">
      <c r="B173" s="1" t="inlineStr">
        <is>
          <t>blackcurrant</t>
        </is>
      </c>
      <c r="C173" s="7">
        <f>"n. 黑醋栗；黑加仑"</f>
        <v/>
      </c>
      <c r="G173" s="18">
        <f>HYPERLINK("D:\python\英语学习\voices\"&amp;B173&amp;"_1.mp3","BrE")</f>
        <v/>
      </c>
      <c r="H173" s="18">
        <f>HYPERLINK("D:\python\英语学习\voices\"&amp;B173&amp;"_2.mp3","AmE")</f>
        <v/>
      </c>
      <c r="I173" s="18">
        <f>HYPERLINK("http://dict.youdao.com/w/"&amp;B173,"有道")</f>
        <v/>
      </c>
    </row>
    <row r="174">
      <c r="A174" s="1" t="inlineStr">
        <is>
          <t>unnecessary</t>
        </is>
      </c>
      <c r="B174" s="1" t="inlineStr">
        <is>
          <t>bladder</t>
        </is>
      </c>
      <c r="C174" s="7">
        <f>"n. 膀胱；囊状物，可充气的囊袋"</f>
        <v/>
      </c>
      <c r="G174" s="18">
        <f>HYPERLINK("D:\python\英语学习\voices\"&amp;B174&amp;"_1.mp3","BrE")</f>
        <v/>
      </c>
      <c r="H174" s="18">
        <f>HYPERLINK("D:\python\英语学习\voices\"&amp;B174&amp;"_2.mp3","AmE")</f>
        <v/>
      </c>
      <c r="I174" s="18">
        <f>HYPERLINK("http://dict.youdao.com/w/"&amp;B174,"有道")</f>
        <v/>
      </c>
    </row>
    <row customHeight="1" ht="42.75" r="175">
      <c r="B175" s="1" t="inlineStr">
        <is>
          <t>blah</t>
        </is>
      </c>
      <c r="C175" s="7">
        <f>"n. 废话；空话；瞎说"&amp;CHAR(10)&amp;"int. 废话"&amp;CHAR(10)&amp;"n. (Blah)人名；(捷)布拉赫"</f>
        <v/>
      </c>
      <c r="G175" s="18">
        <f>HYPERLINK("D:\python\英语学习\voices\"&amp;B175&amp;"_1.mp3","BrE")</f>
        <v/>
      </c>
      <c r="H175" s="18">
        <f>HYPERLINK("D:\python\英语学习\voices\"&amp;B175&amp;"_2.mp3","AmE")</f>
        <v/>
      </c>
      <c r="I175" s="18">
        <f>HYPERLINK("http://dict.youdao.com/w/"&amp;B175,"有道")</f>
        <v/>
      </c>
    </row>
    <row customHeight="1" ht="57" r="176">
      <c r="B176" s="1" t="inlineStr">
        <is>
          <t>bland</t>
        </is>
      </c>
      <c r="C176" s="7">
        <f>"adj. 乏味的；温和的；冷漠的"&amp;CHAR(10)&amp;"vt. 使…变得淡而无味；除掉…的特性"&amp;CHAR(10)&amp;"vi. 变得平淡无奇；丧失特性"&amp;CHAR(10)&amp;"n. (Bland)人名；(英)布兰德"</f>
        <v/>
      </c>
      <c r="G176" s="18">
        <f>HYPERLINK("D:\python\英语学习\voices\"&amp;B176&amp;"_1.mp3","BrE")</f>
        <v/>
      </c>
      <c r="H176" s="18">
        <f>HYPERLINK("D:\python\英语学习\voices\"&amp;B176&amp;"_2.mp3","AmE")</f>
        <v/>
      </c>
      <c r="I176" s="18">
        <f>HYPERLINK("http://dict.youdao.com/w/"&amp;B176,"有道")</f>
        <v/>
      </c>
    </row>
    <row r="177">
      <c r="B177" s="1" t="inlineStr">
        <is>
          <t>blastocyst</t>
        </is>
      </c>
      <c r="C177" s="7">
        <f>"n. 囊胚；胚包"</f>
        <v/>
      </c>
      <c r="E177" s="6" t="inlineStr">
        <is>
          <t>x</t>
        </is>
      </c>
      <c r="G177" s="18">
        <f>HYPERLINK("D:\python\英语学习\voices\"&amp;B177&amp;"_1.mp3","BrE")</f>
        <v/>
      </c>
      <c r="H177" s="18">
        <f>HYPERLINK("D:\python\英语学习\voices\"&amp;B177&amp;"_2.mp3","AmE")</f>
        <v/>
      </c>
      <c r="I177" s="18">
        <f>HYPERLINK("http://dict.youdao.com/w/"&amp;B177,"有道")</f>
        <v/>
      </c>
    </row>
    <row customHeight="1" ht="57" r="178">
      <c r="B178" s="1" t="inlineStr">
        <is>
          <t>blaze</t>
        </is>
      </c>
      <c r="C178" s="7">
        <f>"vt. 在树皮上刻路标；公开宣布"&amp;CHAR(10)&amp;"n. 火焰，烈火；光辉；情感爆发"&amp;CHAR(10)&amp;"vi. 燃烧；照耀，发光；激发"&amp;CHAR(10)&amp;"n. (Blaze)人名；(法)布拉兹；(马其)布拉热"</f>
        <v/>
      </c>
      <c r="G178" s="18">
        <f>HYPERLINK("D:\python\英语学习\voices\"&amp;B178&amp;"_1.mp3","BrE")</f>
        <v/>
      </c>
      <c r="H178" s="18">
        <f>HYPERLINK("D:\python\英语学习\voices\"&amp;B178&amp;"_2.mp3","AmE")</f>
        <v/>
      </c>
      <c r="I178" s="18">
        <f>HYPERLINK("http://dict.youdao.com/w/"&amp;B178,"有道")</f>
        <v/>
      </c>
    </row>
    <row customHeight="1" ht="28.5" r="179">
      <c r="B179" s="1" t="inlineStr">
        <is>
          <t>bleak</t>
        </is>
      </c>
      <c r="C179" s="7">
        <f>"adj. 阴冷的；荒凉的，无遮蔽的；黯淡的，无希望的；冷酷的；单调的"</f>
        <v/>
      </c>
      <c r="G179" s="18">
        <f>HYPERLINK("D:\python\英语学习\voices\"&amp;B179&amp;"_1.mp3","BrE")</f>
        <v/>
      </c>
      <c r="H179" s="18">
        <f>HYPERLINK("D:\python\英语学习\voices\"&amp;B179&amp;"_2.mp3","AmE")</f>
        <v/>
      </c>
      <c r="I179" s="18">
        <f>HYPERLINK("http://dict.youdao.com/w/"&amp;B179,"有道")</f>
        <v/>
      </c>
    </row>
    <row customHeight="1" ht="28.5" r="180">
      <c r="B180" s="1" t="inlineStr">
        <is>
          <t>blest</t>
        </is>
      </c>
      <c r="C180" s="7">
        <f>"adj. 幸福的；被祝福的"&amp;CHAR(10)&amp;"v. 祝福；保佑（bless的过去分词形式）"</f>
        <v/>
      </c>
      <c r="D180" s="6" t="inlineStr">
        <is>
          <t>bless的过去式</t>
        </is>
      </c>
      <c r="G180" s="18">
        <f>HYPERLINK("D:\python\英语学习\voices\"&amp;B180&amp;"_1.mp3","BrE")</f>
        <v/>
      </c>
      <c r="H180" s="18">
        <f>HYPERLINK("D:\python\英语学习\voices\"&amp;B180&amp;"_2.mp3","AmE")</f>
        <v/>
      </c>
      <c r="I180" s="18">
        <f>HYPERLINK("http://dict.youdao.com/w/"&amp;B180,"有道")</f>
        <v/>
      </c>
    </row>
    <row customHeight="1" ht="57" r="181">
      <c r="B181" s="1" t="inlineStr">
        <is>
          <t>blink</t>
        </is>
      </c>
      <c r="C181" s="7">
        <f>"vt. 眨眼；使…闪烁"&amp;CHAR(10)&amp;"vi. 眨眼；闪烁"&amp;CHAR(10)&amp;"n. 眨眼；瞬间；闪光"&amp;CHAR(10)&amp;"n. (Blink)人名；(德)布林克"</f>
        <v/>
      </c>
      <c r="G181" s="18">
        <f>HYPERLINK("D:\python\英语学习\voices\"&amp;B181&amp;"_1.mp3","BrE")</f>
        <v/>
      </c>
      <c r="H181" s="18">
        <f>HYPERLINK("D:\python\英语学习\voices\"&amp;B181&amp;"_2.mp3","AmE")</f>
        <v/>
      </c>
      <c r="I181" s="18">
        <f>HYPERLINK("http://dict.youdao.com/w/"&amp;B181,"有道")</f>
        <v/>
      </c>
    </row>
    <row customHeight="1" ht="42.75" r="182">
      <c r="B182" s="1" t="inlineStr">
        <is>
          <t>blob</t>
        </is>
      </c>
      <c r="C182" s="7">
        <f>"n. 一滴；一抹；难以名状的一团"&amp;CHAR(10)&amp;"vt. 弄脏；把…做错"&amp;CHAR(10)&amp;"vi. 得零分；弄错"</f>
        <v/>
      </c>
      <c r="G182" s="18">
        <f>HYPERLINK("D:\python\英语学习\voices\"&amp;B182&amp;"_1.mp3","BrE")</f>
        <v/>
      </c>
      <c r="H182" s="18">
        <f>HYPERLINK("D:\python\英语学习\voices\"&amp;B182&amp;"_2.mp3","AmE")</f>
        <v/>
      </c>
      <c r="I182" s="18">
        <f>HYPERLINK("http://dict.youdao.com/w/"&amp;B182,"有道")</f>
        <v/>
      </c>
    </row>
    <row r="183">
      <c r="B183" s="1" t="inlineStr">
        <is>
          <t>bloke</t>
        </is>
      </c>
      <c r="C183" s="7">
        <f>"n. 家伙；小子"</f>
        <v/>
      </c>
      <c r="G183" s="18">
        <f>HYPERLINK("D:\python\英语学习\voices\"&amp;B183&amp;"_1.mp3","BrE")</f>
        <v/>
      </c>
      <c r="H183" s="18">
        <f>HYPERLINK("D:\python\英语学习\voices\"&amp;B183&amp;"_2.mp3","AmE")</f>
        <v/>
      </c>
      <c r="I183" s="18">
        <f>HYPERLINK("http://dict.youdao.com/w/"&amp;B183,"有道")</f>
        <v/>
      </c>
    </row>
    <row customHeight="1" ht="57" r="184">
      <c r="B184" s="1" t="inlineStr">
        <is>
          <t>blot</t>
        </is>
      </c>
      <c r="C184" s="7">
        <f>"vi. 吸墨水；弄上墨渍或污渍"&amp;CHAR(10)&amp;"vt. 涂污，弄脏；用吸墨纸弄干（或除去）"&amp;CHAR(10)&amp;"n. 污点，污渍；墨水渍"&amp;CHAR(10)&amp;"n. (Blot)人名；(法)布洛"</f>
        <v/>
      </c>
      <c r="G184" s="18">
        <f>HYPERLINK("D:\python\英语学习\voices\"&amp;B184&amp;"_1.mp3","BrE")</f>
        <v/>
      </c>
      <c r="H184" s="18">
        <f>HYPERLINK("D:\python\英语学习\voices\"&amp;B184&amp;"_2.mp3","AmE")</f>
        <v/>
      </c>
      <c r="I184" s="18">
        <f>HYPERLINK("http://dict.youdao.com/w/"&amp;B184,"有道")</f>
        <v/>
      </c>
    </row>
    <row customHeight="1" ht="42.75" r="185">
      <c r="B185" s="1" t="inlineStr">
        <is>
          <t>blunder</t>
        </is>
      </c>
      <c r="C185" s="7">
        <f>"vi. 跌跌撞撞地走；犯大错"&amp;CHAR(10)&amp;"vt. 做错"&amp;CHAR(10)&amp;"n. 大错"</f>
        <v/>
      </c>
      <c r="G185" s="18">
        <f>HYPERLINK("D:\python\英语学习\voices\"&amp;B185&amp;"_1.mp3","BrE")</f>
        <v/>
      </c>
      <c r="H185" s="18">
        <f>HYPERLINK("D:\python\英语学习\voices\"&amp;B185&amp;"_2.mp3","AmE")</f>
        <v/>
      </c>
      <c r="I185" s="18">
        <f>HYPERLINK("http://dict.youdao.com/w/"&amp;B185,"有道")</f>
        <v/>
      </c>
    </row>
    <row customHeight="1" ht="42.75" r="186">
      <c r="B186" s="1" t="inlineStr">
        <is>
          <t>blunt</t>
        </is>
      </c>
      <c r="C186" s="7">
        <f>"adj. 钝的，不锋利的；生硬的；直率的"&amp;CHAR(10)&amp;"vt. 使迟钝"&amp;CHAR(10)&amp;"n. (Blunt)人名；(英)布伦特"</f>
        <v/>
      </c>
      <c r="G186" s="18">
        <f>HYPERLINK("D:\python\英语学习\voices\"&amp;B186&amp;"_1.mp3","BrE")</f>
        <v/>
      </c>
      <c r="H186" s="18">
        <f>HYPERLINK("D:\python\英语学习\voices\"&amp;B186&amp;"_2.mp3","AmE")</f>
        <v/>
      </c>
      <c r="I186" s="18">
        <f>HYPERLINK("http://dict.youdao.com/w/"&amp;B186,"有道")</f>
        <v/>
      </c>
    </row>
    <row customHeight="1" ht="71.25" r="187">
      <c r="B187" s="1" t="inlineStr">
        <is>
          <t>board</t>
        </is>
      </c>
      <c r="C187" s="7">
        <f>"n. 董事会；木板；甲板；膳食"&amp;CHAR(10)&amp;"vt. 上（飞机、车、船等）；用板盖上；给提供膳宿"&amp;CHAR(10)&amp;"vi. 寄宿"&amp;CHAR(10)&amp;"n. (Board)人名；(英、西)博德"</f>
        <v/>
      </c>
      <c r="G187" s="18">
        <f>HYPERLINK("D:\python\英语学习\voices\"&amp;B187&amp;"_1.mp3","BrE")</f>
        <v/>
      </c>
      <c r="H187" s="18">
        <f>HYPERLINK("D:\python\英语学习\voices\"&amp;B187&amp;"_2.mp3","AmE")</f>
        <v/>
      </c>
      <c r="I187" s="18">
        <f>HYPERLINK("http://dict.youdao.com/w/"&amp;B187,"有道")</f>
        <v/>
      </c>
    </row>
    <row customHeight="1" ht="42.75" r="188">
      <c r="B188" s="1" t="inlineStr">
        <is>
          <t>bodily</t>
        </is>
      </c>
      <c r="C188" s="7">
        <f>"adv. 整体地；亲自地；以肉体形式"&amp;CHAR(10)&amp;"adj. 身体的；肉体的"&amp;CHAR(10)&amp;"n. (Bodily)人名；(英)博迪利"</f>
        <v/>
      </c>
      <c r="G188" s="18">
        <f>HYPERLINK("D:\python\英语学习\voices\"&amp;B188&amp;"_1.mp3","BrE")</f>
        <v/>
      </c>
      <c r="H188" s="18">
        <f>HYPERLINK("D:\python\英语学习\voices\"&amp;B188&amp;"_2.mp3","AmE")</f>
        <v/>
      </c>
      <c r="I188" s="18">
        <f>HYPERLINK("http://dict.youdao.com/w/"&amp;B188,"有道")</f>
        <v/>
      </c>
    </row>
    <row r="189">
      <c r="B189" s="1" t="inlineStr">
        <is>
          <t>boiler</t>
        </is>
      </c>
      <c r="C189" s="7">
        <f>"n. 锅炉；烧水壶，热水器；盛热水器"</f>
        <v/>
      </c>
      <c r="G189" s="18">
        <f>HYPERLINK("D:\python\英语学习\voices\"&amp;B189&amp;"_1.mp3","BrE")</f>
        <v/>
      </c>
      <c r="H189" s="18">
        <f>HYPERLINK("D:\python\英语学习\voices\"&amp;B189&amp;"_2.mp3","AmE")</f>
        <v/>
      </c>
      <c r="I189" s="18">
        <f>HYPERLINK("http://dict.youdao.com/w/"&amp;B189,"有道")</f>
        <v/>
      </c>
    </row>
    <row r="190">
      <c r="B190" s="1" t="inlineStr">
        <is>
          <t>booklet</t>
        </is>
      </c>
      <c r="C190" s="7">
        <f>"n. 小册子"</f>
        <v/>
      </c>
      <c r="G190" s="18">
        <f>HYPERLINK("D:\python\英语学习\voices\"&amp;B190&amp;"_1.mp3","BrE")</f>
        <v/>
      </c>
      <c r="H190" s="18">
        <f>HYPERLINK("D:\python\英语学习\voices\"&amp;B190&amp;"_2.mp3","AmE")</f>
        <v/>
      </c>
      <c r="I190" s="18">
        <f>HYPERLINK("http://dict.youdao.com/w/"&amp;B190,"有道")</f>
        <v/>
      </c>
    </row>
    <row customHeight="1" ht="57" r="191">
      <c r="B191" s="1" t="inlineStr">
        <is>
          <t>bore</t>
        </is>
      </c>
      <c r="C191" s="7">
        <f>"vi. 钻孔"&amp;CHAR(10)&amp;"vt. 钻孔；使烦扰"&amp;CHAR(10)&amp;"n. 孔；令人讨厌的人"&amp;CHAR(10)&amp;"n. (Bore)人名；(法)博尔；(塞、马里)博雷"</f>
        <v/>
      </c>
      <c r="G191" s="18">
        <f>HYPERLINK("D:\python\英语学习\voices\"&amp;B191&amp;"_1.mp3","BrE")</f>
        <v/>
      </c>
      <c r="H191" s="18">
        <f>HYPERLINK("D:\python\英语学习\voices\"&amp;B191&amp;"_2.mp3","AmE")</f>
        <v/>
      </c>
      <c r="I191" s="18">
        <f>HYPERLINK("http://dict.youdao.com/w/"&amp;B191,"有道")</f>
        <v/>
      </c>
    </row>
    <row customHeight="1" ht="28.5" r="192">
      <c r="B192" s="1" t="inlineStr">
        <is>
          <t>borough</t>
        </is>
      </c>
      <c r="C192" s="7">
        <f>"n. 区；自治的市镇"&amp;CHAR(10)&amp;"n. (Borough)人名；(英)伯勒"</f>
        <v/>
      </c>
      <c r="G192" s="18">
        <f>HYPERLINK("D:\python\英语学习\voices\"&amp;B192&amp;"_1.mp3","BrE")</f>
        <v/>
      </c>
      <c r="H192" s="18">
        <f>HYPERLINK("D:\python\英语学习\voices\"&amp;B192&amp;"_2.mp3","AmE")</f>
        <v/>
      </c>
      <c r="I192" s="18">
        <f>HYPERLINK("http://dict.youdao.com/w/"&amp;B192,"有道")</f>
        <v/>
      </c>
    </row>
    <row customHeight="1" ht="57" r="193">
      <c r="B193" s="1" t="inlineStr">
        <is>
          <t>bosom</t>
        </is>
      </c>
      <c r="C193" s="7">
        <f>"n. 胸；胸怀；中间；胸襟；内心；乳房；内部"&amp;CHAR(10)&amp;"vt. 怀抱；把…藏在心中"&amp;CHAR(10)&amp;"adj. 知心的；亲密的"&amp;CHAR(10)&amp;"n. (Bosom)人名；(西)博索姆"</f>
        <v/>
      </c>
      <c r="G193" s="18">
        <f>HYPERLINK("D:\python\英语学习\voices\"&amp;B193&amp;"_1.mp3","BrE")</f>
        <v/>
      </c>
      <c r="H193" s="18">
        <f>HYPERLINK("D:\python\英语学习\voices\"&amp;B193&amp;"_2.mp3","AmE")</f>
        <v/>
      </c>
      <c r="I193" s="18">
        <f>HYPERLINK("http://dict.youdao.com/w/"&amp;B193,"有道")</f>
        <v/>
      </c>
    </row>
    <row r="194">
      <c r="B194" s="1" t="inlineStr">
        <is>
          <t>botany</t>
        </is>
      </c>
      <c r="C194" s="7">
        <f>"n. 植物学；地区植物总称"</f>
        <v/>
      </c>
      <c r="G194" s="18">
        <f>HYPERLINK("D:\python\英语学习\voices\"&amp;B194&amp;"_1.mp3","BrE")</f>
        <v/>
      </c>
      <c r="H194" s="18">
        <f>HYPERLINK("D:\python\英语学习\voices\"&amp;B194&amp;"_2.mp3","AmE")</f>
        <v/>
      </c>
      <c r="I194" s="18">
        <f>HYPERLINK("http://dict.youdao.com/w/"&amp;B194,"有道")</f>
        <v/>
      </c>
    </row>
    <row customHeight="1" ht="57" r="195">
      <c r="A195" s="1" t="inlineStr">
        <is>
          <t>unnecessary</t>
        </is>
      </c>
      <c r="B195" s="1" t="inlineStr">
        <is>
          <t>bourgeois</t>
        </is>
      </c>
      <c r="C195" s="7">
        <f>"n. 资本家；九点活字；中产阶级的人；追求物质享受和社会地位者"&amp;CHAR(10)&amp;"adj. 资产阶级的；中产阶级的；贪图享受的"&amp;CHAR(10)&amp;"n. (Bourgeois)人名；(英、法、德)布儒瓦"</f>
        <v/>
      </c>
      <c r="G195" s="18">
        <f>HYPERLINK("D:\python\英语学习\voices\"&amp;B195&amp;"_1.mp3","BrE")</f>
        <v/>
      </c>
      <c r="H195" s="18">
        <f>HYPERLINK("D:\python\英语学习\voices\"&amp;B195&amp;"_2.mp3","AmE")</f>
        <v/>
      </c>
      <c r="I195" s="18">
        <f>HYPERLINK("http://dict.youdao.com/w/"&amp;B195,"有道")</f>
        <v/>
      </c>
    </row>
    <row customHeight="1" ht="28.5" r="196">
      <c r="B196" s="1" t="inlineStr">
        <is>
          <t>bovine</t>
        </is>
      </c>
      <c r="C196" s="7">
        <f>"adj. 牛的；似牛的；迟钝的"&amp;CHAR(10)&amp;"n. 牛科动物"</f>
        <v/>
      </c>
      <c r="G196" s="18">
        <f>HYPERLINK("D:\python\英语学习\voices\"&amp;B196&amp;"_1.mp3","BrE")</f>
        <v/>
      </c>
      <c r="H196" s="18">
        <f>HYPERLINK("D:\python\英语学习\voices\"&amp;B196&amp;"_2.mp3","AmE")</f>
        <v/>
      </c>
      <c r="I196" s="18">
        <f>HYPERLINK("http://dict.youdao.com/w/"&amp;B196,"有道")</f>
        <v/>
      </c>
    </row>
    <row customHeight="1" ht="28.5" r="197">
      <c r="B197" s="1" t="inlineStr">
        <is>
          <t>bowel</t>
        </is>
      </c>
      <c r="C197" s="7">
        <f>"n. 肠；内部；同情"&amp;CHAR(10)&amp;"vt. 将……的肚肠取出"</f>
        <v/>
      </c>
      <c r="G197" s="18">
        <f>HYPERLINK("D:\python\英语学习\voices\"&amp;B197&amp;"_1.mp3","BrE")</f>
        <v/>
      </c>
      <c r="H197" s="18">
        <f>HYPERLINK("D:\python\英语学习\voices\"&amp;B197&amp;"_2.mp3","AmE")</f>
        <v/>
      </c>
      <c r="I197" s="18">
        <f>HYPERLINK("http://dict.youdao.com/w/"&amp;B197,"有道")</f>
        <v/>
      </c>
    </row>
    <row customHeight="1" ht="28.5" r="198">
      <c r="B198" s="1" t="inlineStr">
        <is>
          <t>brandy</t>
        </is>
      </c>
      <c r="C198" s="7">
        <f>"n. 白兰地酒"&amp;CHAR(10)&amp;"n. (Brandy)人名；(法)布朗迪"</f>
        <v/>
      </c>
      <c r="G198" s="18">
        <f>HYPERLINK("D:\python\英语学习\voices\"&amp;B198&amp;"_1.mp3","BrE")</f>
        <v/>
      </c>
      <c r="H198" s="18">
        <f>HYPERLINK("D:\python\英语学习\voices\"&amp;B198&amp;"_2.mp3","AmE")</f>
        <v/>
      </c>
      <c r="I198" s="18">
        <f>HYPERLINK("http://dict.youdao.com/w/"&amp;B198,"有道")</f>
        <v/>
      </c>
    </row>
    <row customHeight="1" ht="28.5" r="199">
      <c r="B199" s="1" t="inlineStr">
        <is>
          <t>breach</t>
        </is>
      </c>
      <c r="C199" s="7">
        <f>"n. 违背，违反；缺口"&amp;CHAR(10)&amp;"vt. 违反，破坏；打破"</f>
        <v/>
      </c>
      <c r="G199" s="18">
        <f>HYPERLINK("D:\python\英语学习\voices\"&amp;B199&amp;"_1.mp3","BrE")</f>
        <v/>
      </c>
      <c r="H199" s="18">
        <f>HYPERLINK("D:\python\英语学习\voices\"&amp;B199&amp;"_2.mp3","AmE")</f>
        <v/>
      </c>
      <c r="I199" s="18">
        <f>HYPERLINK("http://dict.youdao.com/w/"&amp;B199,"有道")</f>
        <v/>
      </c>
    </row>
    <row r="200">
      <c r="B200" s="1" t="inlineStr">
        <is>
          <t>breadth</t>
        </is>
      </c>
      <c r="C200" s="7">
        <f>"n. 宽度，幅度；宽宏"</f>
        <v/>
      </c>
      <c r="G200" s="18">
        <f>HYPERLINK("D:\python\英语学习\voices\"&amp;B200&amp;"_1.mp3","BrE")</f>
        <v/>
      </c>
      <c r="H200" s="18">
        <f>HYPERLINK("D:\python\英语学习\voices\"&amp;B200&amp;"_2.mp3","AmE")</f>
        <v/>
      </c>
      <c r="I200" s="18">
        <f>HYPERLINK("http://dict.youdao.com/w/"&amp;B200,"有道")</f>
        <v/>
      </c>
    </row>
    <row customHeight="1" ht="28.5" r="201">
      <c r="B201" s="1" t="inlineStr">
        <is>
          <t>breakdown</t>
        </is>
      </c>
      <c r="C201" s="7">
        <f>"n. 故障；崩溃；分解；分类；衰弱；跺脚曳步舞"</f>
        <v/>
      </c>
      <c r="G201" s="18">
        <f>HYPERLINK("D:\python\英语学习\voices\"&amp;B201&amp;"_1.mp3","BrE")</f>
        <v/>
      </c>
      <c r="H201" s="18">
        <f>HYPERLINK("D:\python\英语学习\voices\"&amp;B201&amp;"_2.mp3","AmE")</f>
        <v/>
      </c>
      <c r="I201" s="18">
        <f>HYPERLINK("http://dict.youdao.com/w/"&amp;B201,"有道")</f>
        <v/>
      </c>
    </row>
    <row customHeight="1" ht="57" r="202">
      <c r="B202" s="1" t="inlineStr">
        <is>
          <t>breed</t>
        </is>
      </c>
      <c r="C202" s="7">
        <f>"vi. 繁殖；饲养；产生"&amp;CHAR(10)&amp;"vt. 繁殖；饲养；养育，教育；引起"&amp;CHAR(10)&amp;"n. [生物] 品种；种类，类型"&amp;CHAR(10)&amp;"n. (Breed)人名；(英)布里德"</f>
        <v/>
      </c>
      <c r="G202" s="18">
        <f>HYPERLINK("D:\python\英语学习\voices\"&amp;B202&amp;"_1.mp3","BrE")</f>
        <v/>
      </c>
      <c r="H202" s="18">
        <f>HYPERLINK("D:\python\英语学习\voices\"&amp;B202&amp;"_2.mp3","AmE")</f>
        <v/>
      </c>
      <c r="I202" s="18">
        <f>HYPERLINK("http://dict.youdao.com/w/"&amp;B202,"有道")</f>
        <v/>
      </c>
    </row>
    <row customHeight="1" ht="57" r="203">
      <c r="B203" s="1" t="inlineStr">
        <is>
          <t>breeze</t>
        </is>
      </c>
      <c r="C203" s="7">
        <f>"n. 微风；轻而易举的事；煤屑；焦炭渣；小风波"&amp;CHAR(10)&amp;"vi. 吹微风；逃走"&amp;CHAR(10)&amp;"n. (Breeze)人名；(法)布雷兹"</f>
        <v/>
      </c>
      <c r="G203" s="18">
        <f>HYPERLINK("D:\python\英语学习\voices\"&amp;B203&amp;"_1.mp3","BrE")</f>
        <v/>
      </c>
      <c r="H203" s="18">
        <f>HYPERLINK("D:\python\英语学习\voices\"&amp;B203&amp;"_2.mp3","AmE")</f>
        <v/>
      </c>
      <c r="I203" s="18">
        <f>HYPERLINK("http://dict.youdao.com/w/"&amp;B203,"有道")</f>
        <v/>
      </c>
    </row>
    <row customHeight="1" ht="57" r="204">
      <c r="B204" s="1" t="inlineStr">
        <is>
          <t>brew</t>
        </is>
      </c>
      <c r="C204" s="7">
        <f>"vt. 酿造；酝酿"&amp;CHAR(10)&amp;"vi. 酿酒；被冲泡；即将发生"&amp;CHAR(10)&amp;"n. 啤酒；质地"&amp;CHAR(10)&amp;"n. (Brew)人名；(英)布鲁"</f>
        <v/>
      </c>
      <c r="G204" s="18">
        <f>HYPERLINK("D:\python\英语学习\voices\"&amp;B204&amp;"_1.mp3","BrE")</f>
        <v/>
      </c>
      <c r="H204" s="18">
        <f>HYPERLINK("D:\python\英语学习\voices\"&amp;B204&amp;"_2.mp3","AmE")</f>
        <v/>
      </c>
      <c r="I204" s="18">
        <f>HYPERLINK("http://dict.youdao.com/w/"&amp;B204,"有道")</f>
        <v/>
      </c>
    </row>
    <row customHeight="1" ht="57" r="205">
      <c r="B205" s="1" t="inlineStr">
        <is>
          <t>bribe</t>
        </is>
      </c>
      <c r="C205" s="7">
        <f>"vt. 贿赂，收买"&amp;CHAR(10)&amp;"vi. 行贿"&amp;CHAR(10)&amp;"n. 贿赂"&amp;CHAR(10)&amp;"n. (Bribe)人名；(西)布里韦"</f>
        <v/>
      </c>
      <c r="G205" s="18">
        <f>HYPERLINK("D:\python\英语学习\voices\"&amp;B205&amp;"_1.mp3","BrE")</f>
        <v/>
      </c>
      <c r="H205" s="18">
        <f>HYPERLINK("D:\python\英语学习\voices\"&amp;B205&amp;"_2.mp3","AmE")</f>
        <v/>
      </c>
      <c r="I205" s="18">
        <f>HYPERLINK("http://dict.youdao.com/w/"&amp;B205,"有道")</f>
        <v/>
      </c>
    </row>
    <row customHeight="1" ht="57" r="206">
      <c r="B206" s="1" t="inlineStr">
        <is>
          <t>bridle</t>
        </is>
      </c>
      <c r="C206" s="7">
        <f>"n. 缰绳；马勒；系带；约束物"&amp;CHAR(10)&amp;"vt. 控制；给装马勒"&amp;CHAR(10)&amp;"vi. 昂首表示轻蔑；生气"&amp;CHAR(10)&amp;"n. (Bridle)人名；(英)布赖德尔"</f>
        <v/>
      </c>
      <c r="G206" s="18">
        <f>HYPERLINK("D:\python\英语学习\voices\"&amp;B206&amp;"_1.mp3","BrE")</f>
        <v/>
      </c>
      <c r="H206" s="18">
        <f>HYPERLINK("D:\python\英语学习\voices\"&amp;B206&amp;"_2.mp3","AmE")</f>
        <v/>
      </c>
      <c r="I206" s="18">
        <f>HYPERLINK("http://dict.youdao.com/w/"&amp;B206,"有道")</f>
        <v/>
      </c>
    </row>
    <row customHeight="1" ht="28.5" r="207">
      <c r="B207" s="1" t="inlineStr">
        <is>
          <t>brigade</t>
        </is>
      </c>
      <c r="C207" s="7">
        <f>"n. 旅；大部队；队列"&amp;CHAR(10)&amp;"vt. 把…编成旅；把…编成队"</f>
        <v/>
      </c>
      <c r="G207" s="18">
        <f>HYPERLINK("D:\python\英语学习\voices\"&amp;B207&amp;"_1.mp3","BrE")</f>
        <v/>
      </c>
      <c r="H207" s="18">
        <f>HYPERLINK("D:\python\英语学习\voices\"&amp;B207&amp;"_2.mp3","AmE")</f>
        <v/>
      </c>
      <c r="I207" s="18">
        <f>HYPERLINK("http://dict.youdao.com/w/"&amp;B207,"有道")</f>
        <v/>
      </c>
    </row>
    <row customHeight="1" ht="57" r="208">
      <c r="B208" s="1" t="inlineStr">
        <is>
          <t>brim</t>
        </is>
      </c>
      <c r="C208" s="7">
        <f>"n. 边；边缘"&amp;CHAR(10)&amp;"vi. 满溢；溢出"&amp;CHAR(10)&amp;"vt. 使…满溢"&amp;CHAR(10)&amp;"n. (Brim)人名；(英)布里姆"</f>
        <v/>
      </c>
      <c r="G208" s="18">
        <f>HYPERLINK("D:\python\英语学习\voices\"&amp;B208&amp;"_1.mp3","BrE")</f>
        <v/>
      </c>
      <c r="H208" s="18">
        <f>HYPERLINK("D:\python\英语学习\voices\"&amp;B208&amp;"_2.mp3","AmE")</f>
        <v/>
      </c>
      <c r="I208" s="18">
        <f>HYPERLINK("http://dict.youdao.com/w/"&amp;B208,"有道")</f>
        <v/>
      </c>
    </row>
    <row customHeight="1" ht="57" r="209">
      <c r="A209" t="inlineStr">
        <is>
          <t>important</t>
        </is>
      </c>
      <c r="B209" s="1" t="inlineStr">
        <is>
          <t>disregard</t>
        </is>
      </c>
      <c r="C209" s="7">
        <f>"vt. 忽视；不理；漠视；不顾"&amp;CHAR(10)&amp;"n. 忽视；不尊重"</f>
        <v/>
      </c>
      <c r="G209" s="18">
        <f>HYPERLINK("D:\python\英语学习\voices\"&amp;B209&amp;"_1.mp3","BrE")</f>
        <v/>
      </c>
      <c r="H209" s="18">
        <f>HYPERLINK("D:\python\英语学习\voices\"&amp;B209&amp;"_2.mp3","AmE")</f>
        <v/>
      </c>
      <c r="I209" s="18">
        <f>HYPERLINK("http://dict.youdao.com/w/"&amp;B209,"有道")</f>
        <v/>
      </c>
    </row>
    <row r="210">
      <c r="B210" s="1" t="inlineStr">
        <is>
          <t>brittle</t>
        </is>
      </c>
      <c r="C210" s="7">
        <f>"adj. 易碎的，脆弱的；易生气的"</f>
        <v/>
      </c>
      <c r="G210" s="18">
        <f>HYPERLINK("D:\python\英语学习\voices\"&amp;B210&amp;"_1.mp3","BrE")</f>
        <v/>
      </c>
      <c r="H210" s="18">
        <f>HYPERLINK("D:\python\英语学习\voices\"&amp;B210&amp;"_2.mp3","AmE")</f>
        <v/>
      </c>
      <c r="I210" s="18">
        <f>HYPERLINK("http://dict.youdao.com/w/"&amp;B210,"有道")</f>
        <v/>
      </c>
    </row>
    <row r="211">
      <c r="B211" s="1" t="inlineStr">
        <is>
          <t>brokerage</t>
        </is>
      </c>
      <c r="C211" s="7">
        <f>"n. 佣金；回扣；中间人业务"</f>
        <v/>
      </c>
      <c r="G211" s="18">
        <f>HYPERLINK("D:\python\英语学习\voices\"&amp;B211&amp;"_1.mp3","BrE")</f>
        <v/>
      </c>
      <c r="H211" s="18">
        <f>HYPERLINK("D:\python\英语学习\voices\"&amp;B211&amp;"_2.mp3","AmE")</f>
        <v/>
      </c>
      <c r="I211" s="18">
        <f>HYPERLINK("http://dict.youdao.com/w/"&amp;B211,"有道")</f>
        <v/>
      </c>
    </row>
    <row customHeight="1" ht="42.75" r="212">
      <c r="B212" s="1" t="inlineStr">
        <is>
          <t>brood</t>
        </is>
      </c>
      <c r="C212" s="7">
        <f>"vt. 孵；沉思"&amp;CHAR(10)&amp;"n. 一窝；一伙"&amp;CHAR(10)&amp;"n. (Brood)人名；(瑞典)布罗德"</f>
        <v/>
      </c>
      <c r="G212" s="18">
        <f>HYPERLINK("D:\python\英语学习\voices\"&amp;B212&amp;"_1.mp3","BrE")</f>
        <v/>
      </c>
      <c r="H212" s="18">
        <f>HYPERLINK("D:\python\英语学习\voices\"&amp;B212&amp;"_2.mp3","AmE")</f>
        <v/>
      </c>
      <c r="I212" s="18">
        <f>HYPERLINK("http://dict.youdao.com/w/"&amp;B212,"有道")</f>
        <v/>
      </c>
    </row>
    <row customHeight="1" ht="28.5" r="213">
      <c r="B213" s="1" t="inlineStr">
        <is>
          <t>brook</t>
        </is>
      </c>
      <c r="C213" s="7">
        <f>"vt. 忍受；容忍"&amp;CHAR(10)&amp;"n. 小溪；小河"</f>
        <v/>
      </c>
      <c r="E213" s="6">
        <f>"put up with、stand"</f>
        <v/>
      </c>
      <c r="G213" s="18">
        <f>HYPERLINK("D:\python\英语学习\voices\"&amp;B213&amp;"_1.mp3","BrE")</f>
        <v/>
      </c>
      <c r="H213" s="18">
        <f>HYPERLINK("D:\python\英语学习\voices\"&amp;B213&amp;"_2.mp3","AmE")</f>
        <v/>
      </c>
      <c r="I213" s="18">
        <f>HYPERLINK("http://dict.youdao.com/w/"&amp;B213,"有道")</f>
        <v/>
      </c>
    </row>
    <row customHeight="1" ht="57" r="214">
      <c r="B214" s="1" t="inlineStr">
        <is>
          <t>broom</t>
        </is>
      </c>
      <c r="C214" s="7">
        <f>"n. 扫帚；金雀花"&amp;CHAR(10)&amp;"vt. 扫除"&amp;CHAR(10)&amp;"vi. 桩顶开花或开裂"&amp;CHAR(10)&amp;"n. (Broom)人名；(英)布鲁姆"</f>
        <v/>
      </c>
      <c r="G214" s="18">
        <f>HYPERLINK("D:\python\英语学习\voices\"&amp;B214&amp;"_1.mp3","BrE")</f>
        <v/>
      </c>
      <c r="H214" s="18">
        <f>HYPERLINK("D:\python\英语学习\voices\"&amp;B214&amp;"_2.mp3","AmE")</f>
        <v/>
      </c>
      <c r="I214" s="18">
        <f>HYPERLINK("http://dict.youdao.com/w/"&amp;B214,"有道")</f>
        <v/>
      </c>
    </row>
    <row customHeight="1" ht="57" r="215">
      <c r="B215" s="1" t="inlineStr">
        <is>
          <t>buckle</t>
        </is>
      </c>
      <c r="C215" s="7">
        <f>"vi. 扣住；变弯曲"&amp;CHAR(10)&amp;"vt. 扣住；使弯曲"&amp;CHAR(10)&amp;"n. 皮带扣，带扣"&amp;CHAR(10)&amp;"n. (Buckle)人名；(英)巴克尔"</f>
        <v/>
      </c>
      <c r="G215" s="18">
        <f>HYPERLINK("D:\python\英语学习\voices\"&amp;B215&amp;"_1.mp3","BrE")</f>
        <v/>
      </c>
      <c r="H215" s="18">
        <f>HYPERLINK("D:\python\英语学习\voices\"&amp;B215&amp;"_2.mp3","AmE")</f>
        <v/>
      </c>
      <c r="I215" s="18">
        <f>HYPERLINK("http://dict.youdao.com/w/"&amp;B215,"有道")</f>
        <v/>
      </c>
    </row>
    <row customHeight="1" ht="71.25" r="216">
      <c r="B216" s="1" t="inlineStr">
        <is>
          <t>bud</t>
        </is>
      </c>
      <c r="C216" s="7">
        <f>"n. 芽，萌芽；蓓蕾"&amp;CHAR(10)&amp;"vi. 发芽，萌芽"&amp;CHAR(10)&amp;"vt. 使发芽"&amp;CHAR(10)&amp;"n. (Bud)人名；(英)巴德；(中)布特(蒙语·汉语拼音)；(罗、匈)布德"</f>
        <v/>
      </c>
      <c r="D216" s="6" t="inlineStr">
        <is>
          <t xml:space="preserve">rose bud </t>
        </is>
      </c>
      <c r="G216" s="18">
        <f>HYPERLINK("D:\python\英语学习\voices\"&amp;B216&amp;"_1.mp3","BrE")</f>
        <v/>
      </c>
      <c r="H216" s="18">
        <f>HYPERLINK("D:\python\英语学习\voices\"&amp;B216&amp;"_2.mp3","AmE")</f>
        <v/>
      </c>
      <c r="I216" s="18">
        <f>HYPERLINK("http://dict.youdao.com/w/"&amp;B216,"有道")</f>
        <v/>
      </c>
    </row>
    <row customHeight="1" ht="28.5" r="217">
      <c r="B217" s="1" t="inlineStr">
        <is>
          <t>buffer</t>
        </is>
      </c>
      <c r="C217" s="7">
        <f>"n. [计] 缓冲区；缓冲器，[车辆] 减震器"&amp;CHAR(10)&amp;"vt. 缓冲"</f>
        <v/>
      </c>
      <c r="G217" s="18">
        <f>HYPERLINK("D:\python\英语学习\voices\"&amp;B217&amp;"_1.mp3","BrE")</f>
        <v/>
      </c>
      <c r="H217" s="18">
        <f>HYPERLINK("D:\python\英语学习\voices\"&amp;B217&amp;"_2.mp3","AmE")</f>
        <v/>
      </c>
      <c r="I217" s="18">
        <f>HYPERLINK("http://dict.youdao.com/w/"&amp;B217,"有道")</f>
        <v/>
      </c>
    </row>
    <row customHeight="1" ht="42.75" r="218">
      <c r="B218" s="1" t="inlineStr">
        <is>
          <t>bugle</t>
        </is>
      </c>
      <c r="C218" s="7">
        <f>"n. 喇叭；军号；筋骨草属植物"&amp;CHAR(10)&amp;"vt. 吹号集合"&amp;CHAR(10)&amp;"vi. 吹号；吹喇叭"</f>
        <v/>
      </c>
      <c r="G218" s="18">
        <f>HYPERLINK("D:\python\英语学习\voices\"&amp;B218&amp;"_1.mp3","BrE")</f>
        <v/>
      </c>
      <c r="H218" s="18">
        <f>HYPERLINK("D:\python\英语学习\voices\"&amp;B218&amp;"_2.mp3","AmE")</f>
        <v/>
      </c>
      <c r="I218" s="18">
        <f>HYPERLINK("http://dict.youdao.com/w/"&amp;B218,"有道")</f>
        <v/>
      </c>
    </row>
    <row customHeight="1" ht="42.75" r="219">
      <c r="B219" s="1" t="inlineStr">
        <is>
          <t>bulge</t>
        </is>
      </c>
      <c r="C219" s="7">
        <f>"n. 胀；膨胀；凸出部分"&amp;CHAR(10)&amp;"vt. 使膨胀；使凸起"&amp;CHAR(10)&amp;"vi. 膨胀；凸出"</f>
        <v/>
      </c>
      <c r="G219" s="18">
        <f>HYPERLINK("D:\python\英语学习\voices\"&amp;B219&amp;"_1.mp3","BrE")</f>
        <v/>
      </c>
      <c r="H219" s="18">
        <f>HYPERLINK("D:\python\英语学习\voices\"&amp;B219&amp;"_2.mp3","AmE")</f>
        <v/>
      </c>
      <c r="I219" s="18">
        <f>HYPERLINK("http://dict.youdao.com/w/"&amp;B219,"有道")</f>
        <v/>
      </c>
    </row>
    <row customHeight="1" ht="42.75" r="220">
      <c r="B220" s="1" t="inlineStr">
        <is>
          <t>bulk</t>
        </is>
      </c>
      <c r="C220" s="7">
        <f>"n. 体积，容量；大多数，大部分；大块"&amp;CHAR(10)&amp;"vt. 使扩大，使形成大量；使显得重要"&amp;CHAR(10)&amp;"n. (Bulk)人名；(土)布尔克"</f>
        <v/>
      </c>
      <c r="G220" s="18">
        <f>HYPERLINK("D:\python\英语学习\voices\"&amp;B220&amp;"_1.mp3","BrE")</f>
        <v/>
      </c>
      <c r="H220" s="18">
        <f>HYPERLINK("D:\python\英语学习\voices\"&amp;B220&amp;"_2.mp3","AmE")</f>
        <v/>
      </c>
      <c r="I220" s="18">
        <f>HYPERLINK("http://dict.youdao.com/w/"&amp;B220,"有道")</f>
        <v/>
      </c>
    </row>
    <row r="221">
      <c r="B221" s="1" t="inlineStr">
        <is>
          <t>bulky</t>
        </is>
      </c>
      <c r="C221" s="7">
        <f>"adj. 体积大的；庞大的；笨重的"</f>
        <v/>
      </c>
      <c r="G221" s="18">
        <f>HYPERLINK("D:\python\英语学习\voices\"&amp;B221&amp;"_1.mp3","BrE")</f>
        <v/>
      </c>
      <c r="H221" s="18">
        <f>HYPERLINK("D:\python\英语学习\voices\"&amp;B221&amp;"_2.mp3","AmE")</f>
        <v/>
      </c>
      <c r="I221" s="18">
        <f>HYPERLINK("http://dict.youdao.com/w/"&amp;B221,"有道")</f>
        <v/>
      </c>
    </row>
    <row customHeight="1" ht="28.5" r="222">
      <c r="B222" s="1" t="inlineStr">
        <is>
          <t>bullion</t>
        </is>
      </c>
      <c r="C222" s="7">
        <f>"n. 金银；纯金；金银块"&amp;CHAR(10)&amp;"n. (Bullion)人名；(法)比利翁"</f>
        <v/>
      </c>
      <c r="G222" s="18">
        <f>HYPERLINK("D:\python\英语学习\voices\"&amp;B222&amp;"_1.mp3","BrE")</f>
        <v/>
      </c>
      <c r="H222" s="18">
        <f>HYPERLINK("D:\python\英语学习\voices\"&amp;B222&amp;"_2.mp3","AmE")</f>
        <v/>
      </c>
      <c r="I222" s="18">
        <f>HYPERLINK("http://dict.youdao.com/w/"&amp;B222,"有道")</f>
        <v/>
      </c>
    </row>
    <row customHeight="1" ht="71.25" r="223">
      <c r="B223" s="1" t="inlineStr">
        <is>
          <t>bum</t>
        </is>
      </c>
      <c r="C223" s="7">
        <f>"n. 流浪汉；屁股；狂欢作乐；能力差的人；嗡嗡声；执达员（等于bumbailiff）"&amp;CHAR(10)&amp;"vi. 流浪；靠乞讨过活；发嗡嗡声"&amp;CHAR(10)&amp;"vt. 乞讨；闲荡"&amp;CHAR(10)&amp;"adj. 无价值的；劣质的；很不愉快的"</f>
        <v/>
      </c>
      <c r="G223" s="18">
        <f>HYPERLINK("D:\python\英语学习\voices\"&amp;B223&amp;"_1.mp3","BrE")</f>
        <v/>
      </c>
      <c r="H223" s="18">
        <f>HYPERLINK("D:\python\英语学习\voices\"&amp;B223&amp;"_2.mp3","AmE")</f>
        <v/>
      </c>
      <c r="I223" s="18">
        <f>HYPERLINK("http://dict.youdao.com/w/"&amp;B223,"有道")</f>
        <v/>
      </c>
    </row>
    <row customHeight="1" ht="71.25" r="224">
      <c r="B224" s="1" t="inlineStr">
        <is>
          <t>bump</t>
        </is>
      </c>
      <c r="C224" s="7">
        <f>"n. 肿块，隆起物；撞击"&amp;CHAR(10)&amp;"vi. 碰撞，撞击；颠簸而行"&amp;CHAR(10)&amp;"vt. 碰，撞；颠簸"&amp;CHAR(10)&amp;"adv. 突然地，猛烈地"&amp;CHAR(10)&amp;"n. (Bump)人名；(英、西)邦普"</f>
        <v/>
      </c>
      <c r="G224" s="18">
        <f>HYPERLINK("D:\python\英语学习\voices\"&amp;B224&amp;"_1.mp3","BrE")</f>
        <v/>
      </c>
      <c r="H224" s="18">
        <f>HYPERLINK("D:\python\英语学习\voices\"&amp;B224&amp;"_2.mp3","AmE")</f>
        <v/>
      </c>
      <c r="I224" s="18">
        <f>HYPERLINK("http://dict.youdao.com/w/"&amp;B224,"有道")</f>
        <v/>
      </c>
    </row>
    <row customHeight="1" ht="42.75" r="225">
      <c r="B225" s="1" t="inlineStr">
        <is>
          <t>bundle</t>
        </is>
      </c>
      <c r="C225" s="7">
        <f>"n. 束；捆"&amp;CHAR(10)&amp;"vt. 捆"&amp;CHAR(10)&amp;"vi. 匆忙离开"</f>
        <v/>
      </c>
      <c r="G225" s="18">
        <f>HYPERLINK("D:\python\英语学习\voices\"&amp;B225&amp;"_1.mp3","BrE")</f>
        <v/>
      </c>
      <c r="H225" s="18">
        <f>HYPERLINK("D:\python\英语学习\voices\"&amp;B225&amp;"_2.mp3","AmE")</f>
        <v/>
      </c>
      <c r="I225" s="18">
        <f>HYPERLINK("http://dict.youdao.com/w/"&amp;B225,"有道")</f>
        <v/>
      </c>
    </row>
    <row customHeight="1" ht="28.5" r="226">
      <c r="A226" s="1" t="inlineStr">
        <is>
          <t>important</t>
        </is>
      </c>
      <c r="B226" s="1" t="inlineStr">
        <is>
          <t>diverge</t>
        </is>
      </c>
      <c r="C226" s="7">
        <f>"vi. 分歧；偏离；分叉；离题"&amp;CHAR(10)&amp;"vt. 使偏离；使分叉"</f>
        <v/>
      </c>
      <c r="G226" s="18">
        <f>HYPERLINK("D:\python\英语学习\voices\"&amp;B226&amp;"_1.mp3","BrE")</f>
        <v/>
      </c>
      <c r="H226" s="18">
        <f>HYPERLINK("D:\python\英语学习\voices\"&amp;B226&amp;"_2.mp3","AmE")</f>
        <v/>
      </c>
      <c r="I226" s="18">
        <f>HYPERLINK("http://dict.youdao.com/w/"&amp;B226,"有道")</f>
        <v/>
      </c>
    </row>
    <row customHeight="1" ht="28.5" r="227">
      <c r="B227" s="1" t="inlineStr">
        <is>
          <t>burial</t>
        </is>
      </c>
      <c r="C227" s="7">
        <f>"n. 埋葬；葬礼；弃绝"&amp;CHAR(10)&amp;"adj. 埋葬的"</f>
        <v/>
      </c>
      <c r="G227" s="18">
        <f>HYPERLINK("D:\python\英语学习\voices\"&amp;B227&amp;"_1.mp3","BrE")</f>
        <v/>
      </c>
      <c r="H227" s="18">
        <f>HYPERLINK("D:\python\英语学习\voices\"&amp;B227&amp;"_2.mp3","AmE")</f>
        <v/>
      </c>
      <c r="I227" s="18">
        <f>HYPERLINK("http://dict.youdao.com/w/"&amp;B227,"有道")</f>
        <v/>
      </c>
    </row>
    <row customHeight="1" ht="42.75" r="228">
      <c r="B228" s="1" t="inlineStr">
        <is>
          <t>bushel</t>
        </is>
      </c>
      <c r="C228" s="7">
        <f>"n. 蒲式耳"&amp;CHAR(10)&amp;"vt. 修整（衣服等）"&amp;CHAR(10)&amp;"n. (Bushel)人名；(英)布谢尔"</f>
        <v/>
      </c>
      <c r="E228" s="6" t="inlineStr">
        <is>
          <t>x</t>
        </is>
      </c>
      <c r="G228" s="18">
        <f>HYPERLINK("D:\python\英语学习\voices\"&amp;B228&amp;"_1.mp3","BrE")</f>
        <v/>
      </c>
      <c r="H228" s="18">
        <f>HYPERLINK("D:\python\英语学习\voices\"&amp;B228&amp;"_2.mp3","AmE")</f>
        <v/>
      </c>
      <c r="I228" s="18">
        <f>HYPERLINK("http://dict.youdao.com/w/"&amp;B228,"有道")</f>
        <v/>
      </c>
    </row>
    <row customHeight="1" ht="42.75" r="229">
      <c r="B229" s="1" t="inlineStr">
        <is>
          <t>bustle</t>
        </is>
      </c>
      <c r="C229" s="7">
        <f>"vi. 喧闹；忙乱；充满"&amp;CHAR(10)&amp;"vt. 使忙碌；催促"&amp;CHAR(10)&amp;"n. 喧闹；活跃；裙撑；热闹的活动"</f>
        <v/>
      </c>
      <c r="G229" s="18">
        <f>HYPERLINK("D:\python\英语学习\voices\"&amp;B229&amp;"_1.mp3","BrE")</f>
        <v/>
      </c>
      <c r="H229" s="18">
        <f>HYPERLINK("D:\python\英语学习\voices\"&amp;B229&amp;"_2.mp3","AmE")</f>
        <v/>
      </c>
      <c r="I229" s="18">
        <f>HYPERLINK("http://dict.youdao.com/w/"&amp;B229,"有道")</f>
        <v/>
      </c>
    </row>
    <row customHeight="1" ht="57" r="230">
      <c r="B230" s="1" t="inlineStr">
        <is>
          <t>butt</t>
        </is>
      </c>
      <c r="C230" s="7">
        <f>"n. 屁股；烟头；笑柄；靶垛；粗大的一端"&amp;CHAR(10)&amp;"vt. 以头抵撞；碰撞"&amp;CHAR(10)&amp;"n. (Butt)人名；(英)巴特；(俄、德、印、巴基)布特"</f>
        <v/>
      </c>
      <c r="G230" s="18">
        <f>HYPERLINK("D:\python\英语学习\voices\"&amp;B230&amp;"_1.mp3","BrE")</f>
        <v/>
      </c>
      <c r="H230" s="18">
        <f>HYPERLINK("D:\python\英语学习\voices\"&amp;B230&amp;"_2.mp3","AmE")</f>
        <v/>
      </c>
      <c r="I230" s="18">
        <f>HYPERLINK("http://dict.youdao.com/w/"&amp;B230,"有道")</f>
        <v/>
      </c>
    </row>
    <row r="231">
      <c r="B231" s="1" t="inlineStr">
        <is>
          <t>buzzword</t>
        </is>
      </c>
      <c r="C231" s="7">
        <f>"n. 流行词"</f>
        <v/>
      </c>
      <c r="G231" s="18">
        <f>HYPERLINK("D:\python\英语学习\voices\"&amp;B231&amp;"_1.mp3","BrE")</f>
        <v/>
      </c>
      <c r="H231" s="18">
        <f>HYPERLINK("D:\python\英语学习\voices\"&amp;B231&amp;"_2.mp3","AmE")</f>
        <v/>
      </c>
      <c r="I231" s="18">
        <f>HYPERLINK("http://dict.youdao.com/w/"&amp;B231,"有道")</f>
        <v/>
      </c>
    </row>
    <row customHeight="1" ht="28.5" r="232">
      <c r="B232" s="1" t="inlineStr">
        <is>
          <t>bypass</t>
        </is>
      </c>
      <c r="C232" s="7">
        <f>"vt. 绕开；忽视；设旁路；迂回"&amp;CHAR(10)&amp;"n. 旁路；[公路] 支路"</f>
        <v/>
      </c>
      <c r="G232" s="18">
        <f>HYPERLINK("D:\python\英语学习\voices\"&amp;B232&amp;"_1.mp3","BrE")</f>
        <v/>
      </c>
      <c r="H232" s="18">
        <f>HYPERLINK("D:\python\英语学习\voices\"&amp;B232&amp;"_2.mp3","AmE")</f>
        <v/>
      </c>
      <c r="I232" s="18">
        <f>HYPERLINK("http://dict.youdao.com/w/"&amp;B232,"有道")</f>
        <v/>
      </c>
    </row>
    <row customHeight="1" ht="42.75" r="233">
      <c r="B233" s="1" t="inlineStr">
        <is>
          <t>cable</t>
        </is>
      </c>
      <c r="C233" s="7">
        <f>"n. 缆绳；电缆；海底电报"&amp;CHAR(10)&amp;"vt. 打电报"&amp;CHAR(10)&amp;"vi. 打海底电报"</f>
        <v/>
      </c>
      <c r="G233" s="18">
        <f>HYPERLINK("D:\python\英语学习\voices\"&amp;B233&amp;"_1.mp3","BrE")</f>
        <v/>
      </c>
      <c r="H233" s="18">
        <f>HYPERLINK("D:\python\英语学习\voices\"&amp;B233&amp;"_2.mp3","AmE")</f>
        <v/>
      </c>
      <c r="I233" s="18">
        <f>HYPERLINK("http://dict.youdao.com/w/"&amp;B233,"有道")</f>
        <v/>
      </c>
    </row>
    <row customHeight="1" ht="28.5" r="234">
      <c r="B234" s="1" t="inlineStr">
        <is>
          <t>calamity</t>
        </is>
      </c>
      <c r="C234" s="7">
        <f>"n. 灾难；不幸事件"&amp;CHAR(10)&amp;"n. (Calamity)人名；(英)卡拉米蒂"</f>
        <v/>
      </c>
      <c r="G234" s="18">
        <f>HYPERLINK("D:\python\英语学习\voices\"&amp;B234&amp;"_1.mp3","BrE")</f>
        <v/>
      </c>
      <c r="H234" s="18">
        <f>HYPERLINK("D:\python\英语学习\voices\"&amp;B234&amp;"_2.mp3","AmE")</f>
        <v/>
      </c>
      <c r="I234" s="18">
        <f>HYPERLINK("http://dict.youdao.com/w/"&amp;B234,"有道")</f>
        <v/>
      </c>
    </row>
    <row r="235">
      <c r="B235" s="1" t="inlineStr">
        <is>
          <t>calibration</t>
        </is>
      </c>
      <c r="C235" s="7">
        <f>"n. 校准；刻度；标度"</f>
        <v/>
      </c>
      <c r="G235" s="18">
        <f>HYPERLINK("D:\python\英语学习\voices\"&amp;B235&amp;"_1.mp3","BrE")</f>
        <v/>
      </c>
      <c r="H235" s="18">
        <f>HYPERLINK("D:\python\英语学习\voices\"&amp;B235&amp;"_2.mp3","AmE")</f>
        <v/>
      </c>
      <c r="I235" s="18">
        <f>HYPERLINK("http://dict.youdao.com/w/"&amp;B235,"有道")</f>
        <v/>
      </c>
    </row>
    <row r="236">
      <c r="B236" s="1" t="inlineStr">
        <is>
          <t>cancellation</t>
        </is>
      </c>
      <c r="C236" s="7">
        <f>"n. 取消；删除"</f>
        <v/>
      </c>
      <c r="G236" s="18">
        <f>HYPERLINK("D:\python\英语学习\voices\"&amp;B236&amp;"_1.mp3","BrE")</f>
        <v/>
      </c>
      <c r="H236" s="18">
        <f>HYPERLINK("D:\python\英语学习\voices\"&amp;B236&amp;"_2.mp3","AmE")</f>
        <v/>
      </c>
      <c r="I236" s="18">
        <f>HYPERLINK("http://dict.youdao.com/w/"&amp;B236,"有道")</f>
        <v/>
      </c>
    </row>
    <row r="237">
      <c r="B237" s="1" t="inlineStr">
        <is>
          <t>candidacy</t>
        </is>
      </c>
      <c r="C237" s="7">
        <f>"n. 候选资格；候选状态"</f>
        <v/>
      </c>
      <c r="G237" s="18">
        <f>HYPERLINK("D:\python\英语学习\voices\"&amp;B237&amp;"_1.mp3","BrE")</f>
        <v/>
      </c>
      <c r="H237" s="18">
        <f>HYPERLINK("D:\python\英语学习\voices\"&amp;B237&amp;"_2.mp3","AmE")</f>
        <v/>
      </c>
      <c r="I237" s="18">
        <f>HYPERLINK("http://dict.youdao.com/w/"&amp;B237,"有道")</f>
        <v/>
      </c>
    </row>
    <row customHeight="1" ht="57" r="238">
      <c r="B238" s="1" t="inlineStr">
        <is>
          <t>cane</t>
        </is>
      </c>
      <c r="C238" s="7">
        <f>"n. 手杖；藤条；细长的茎"&amp;CHAR(10)&amp;"vt. 以杖击；以藤编制"&amp;CHAR(10)&amp;"n. (Cane)人名；(英)凯恩；(西、意)卡内；(塞)察内"</f>
        <v/>
      </c>
      <c r="G238" s="18">
        <f>HYPERLINK("D:\python\英语学习\voices\"&amp;B238&amp;"_1.mp3","BrE")</f>
        <v/>
      </c>
      <c r="H238" s="18">
        <f>HYPERLINK("D:\python\英语学习\voices\"&amp;B238&amp;"_2.mp3","AmE")</f>
        <v/>
      </c>
      <c r="I238" s="18">
        <f>HYPERLINK("http://dict.youdao.com/w/"&amp;B238,"有道")</f>
        <v/>
      </c>
    </row>
    <row customHeight="1" ht="42.75" r="239">
      <c r="B239" s="1" t="inlineStr">
        <is>
          <t>canoe</t>
        </is>
      </c>
      <c r="C239" s="7">
        <f>"n. 独木舟；轻舟"&amp;CHAR(10)&amp;"vi. 乘独木舟"&amp;CHAR(10)&amp;"vt. 用独木舟运"</f>
        <v/>
      </c>
      <c r="G239" s="18">
        <f>HYPERLINK("D:\python\英语学习\voices\"&amp;B239&amp;"_1.mp3","BrE")</f>
        <v/>
      </c>
      <c r="H239" s="18">
        <f>HYPERLINK("D:\python\英语学习\voices\"&amp;B239&amp;"_2.mp3","AmE")</f>
        <v/>
      </c>
      <c r="I239" s="18">
        <f>HYPERLINK("http://dict.youdao.com/w/"&amp;B239,"有道")</f>
        <v/>
      </c>
    </row>
    <row r="240">
      <c r="B240" s="1" t="inlineStr">
        <is>
          <t>canon</t>
        </is>
      </c>
      <c r="C240" s="7">
        <f>"n. 标准；教规；正典圣经；教士"</f>
        <v/>
      </c>
      <c r="G240" s="18">
        <f>HYPERLINK("D:\python\英语学习\voices\"&amp;B240&amp;"_1.mp3","BrE")</f>
        <v/>
      </c>
      <c r="H240" s="18">
        <f>HYPERLINK("D:\python\英语学习\voices\"&amp;B240&amp;"_2.mp3","AmE")</f>
        <v/>
      </c>
      <c r="I240" s="18">
        <f>HYPERLINK("http://dict.youdao.com/w/"&amp;B240,"有道")</f>
        <v/>
      </c>
    </row>
    <row customHeight="1" ht="57" r="241">
      <c r="B241" s="1" t="inlineStr">
        <is>
          <t>cant</t>
        </is>
      </c>
      <c r="C241" s="7">
        <f>"n. 斜面；伪善之言；黑话；角落"&amp;CHAR(10)&amp;"vi. 倾斜；讲黑话"&amp;CHAR(10)&amp;"vt. 把…棱角去掉；使…倾斜；甩掉"&amp;CHAR(10)&amp;"adj. 行话的；哀诉声的；假仁假义的"</f>
        <v/>
      </c>
      <c r="G241" s="18">
        <f>HYPERLINK("D:\python\英语学习\voices\"&amp;B241&amp;"_1.mp3","BrE")</f>
        <v/>
      </c>
      <c r="H241" s="18">
        <f>HYPERLINK("D:\python\英语学习\voices\"&amp;B241&amp;"_2.mp3","AmE")</f>
        <v/>
      </c>
      <c r="I241" s="18">
        <f>HYPERLINK("http://dict.youdao.com/w/"&amp;B241,"有道")</f>
        <v/>
      </c>
    </row>
    <row customHeight="1" ht="28.5" r="242">
      <c r="B242" s="1" t="inlineStr">
        <is>
          <t>cape</t>
        </is>
      </c>
      <c r="C242" s="7">
        <f>"n. [地理] 海角，岬；披肩"&amp;CHAR(10)&amp;"n. (Cape)人名；(塞)察佩；(英)凯普"</f>
        <v/>
      </c>
      <c r="G242" s="18">
        <f>HYPERLINK("D:\python\英语学习\voices\"&amp;B242&amp;"_1.mp3","BrE")</f>
        <v/>
      </c>
      <c r="H242" s="18">
        <f>HYPERLINK("D:\python\英语学习\voices\"&amp;B242&amp;"_2.mp3","AmE")</f>
        <v/>
      </c>
      <c r="I242" s="18">
        <f>HYPERLINK("http://dict.youdao.com/w/"&amp;B242,"有道")</f>
        <v/>
      </c>
    </row>
    <row customHeight="1" ht="28.5" r="243">
      <c r="B243" s="1" t="inlineStr">
        <is>
          <t>capillary</t>
        </is>
      </c>
      <c r="C243" s="7">
        <f>"n. 毛细管"&amp;CHAR(10)&amp;"adj. 毛细管的；毛状的"</f>
        <v/>
      </c>
      <c r="G243" s="18">
        <f>HYPERLINK("D:\python\英语学习\voices\"&amp;B243&amp;"_1.mp3","BrE")</f>
        <v/>
      </c>
      <c r="H243" s="18">
        <f>HYPERLINK("D:\python\英语学习\voices\"&amp;B243&amp;"_2.mp3","AmE")</f>
        <v/>
      </c>
      <c r="I243" s="18">
        <f>HYPERLINK("http://dict.youdao.com/w/"&amp;B243,"有道")</f>
        <v/>
      </c>
    </row>
    <row customHeight="1" ht="28.5" r="244">
      <c r="B244" s="1" t="inlineStr">
        <is>
          <t>capitalist</t>
        </is>
      </c>
      <c r="C244" s="7">
        <f>"n. 资本家；资本主义者"&amp;CHAR(10)&amp;"adj. 资本主义的；资本家的"</f>
        <v/>
      </c>
      <c r="G244" s="18">
        <f>HYPERLINK("D:\python\英语学习\voices\"&amp;B244&amp;"_1.mp3","BrE")</f>
        <v/>
      </c>
      <c r="H244" s="18">
        <f>HYPERLINK("D:\python\英语学习\voices\"&amp;B244&amp;"_2.mp3","AmE")</f>
        <v/>
      </c>
      <c r="I244" s="18">
        <f>HYPERLINK("http://dict.youdao.com/w/"&amp;B244,"有道")</f>
        <v/>
      </c>
    </row>
    <row customHeight="1" ht="28.5" r="245">
      <c r="B245" s="1" t="inlineStr">
        <is>
          <t>captive</t>
        </is>
      </c>
      <c r="C245" s="7">
        <f>"adj. 被俘虏的；被迷住的"&amp;CHAR(10)&amp;"n. 俘虏；迷恋者"</f>
        <v/>
      </c>
      <c r="G245" s="18">
        <f>HYPERLINK("D:\python\英语学习\voices\"&amp;B245&amp;"_1.mp3","BrE")</f>
        <v/>
      </c>
      <c r="H245" s="18">
        <f>HYPERLINK("D:\python\英语学习\voices\"&amp;B245&amp;"_2.mp3","AmE")</f>
        <v/>
      </c>
      <c r="I245" s="18">
        <f>HYPERLINK("http://dict.youdao.com/w/"&amp;B245,"有道")</f>
        <v/>
      </c>
    </row>
    <row customHeight="1" ht="57" r="246">
      <c r="B246" s="1" t="inlineStr">
        <is>
          <t>caravan</t>
        </is>
      </c>
      <c r="C246" s="7">
        <f>"n. （可供居住的）拖车，大篷车；（穿过沙漠地带的）旅行队（如商队）；&lt;英&gt;活动住宅；&lt;美&gt;移民列车"&amp;CHAR(10)&amp;"vi. 乘拖车度假；参加旅行队旅行"</f>
        <v/>
      </c>
      <c r="G246" s="18">
        <f>HYPERLINK("D:\python\英语学习\voices\"&amp;B246&amp;"_1.mp3","BrE")</f>
        <v/>
      </c>
      <c r="H246" s="18">
        <f>HYPERLINK("D:\python\英语学习\voices\"&amp;B246&amp;"_2.mp3","AmE")</f>
        <v/>
      </c>
      <c r="I246" s="18">
        <f>HYPERLINK("http://dict.youdao.com/w/"&amp;B246,"有道")</f>
        <v/>
      </c>
    </row>
    <row customHeight="1" ht="42.75" r="247">
      <c r="B247" s="1" t="inlineStr">
        <is>
          <t>cardinal</t>
        </is>
      </c>
      <c r="C247" s="7">
        <f>"n. 红衣主教；枢机主教；鲜红色；【鸟类】(北美)主红雀"&amp;CHAR(10)&amp;"adj. 主要的，基本的；深红色的"</f>
        <v/>
      </c>
      <c r="G247" s="18">
        <f>HYPERLINK("D:\python\英语学习\voices\"&amp;B247&amp;"_1.mp3","BrE")</f>
        <v/>
      </c>
      <c r="H247" s="18">
        <f>HYPERLINK("D:\python\英语学习\voices\"&amp;B247&amp;"_2.mp3","AmE")</f>
        <v/>
      </c>
      <c r="I247" s="18">
        <f>HYPERLINK("http://dict.youdao.com/w/"&amp;B247,"有道")</f>
        <v/>
      </c>
    </row>
    <row r="248">
      <c r="B248" s="1" t="inlineStr">
        <is>
          <t>cardiovascular</t>
        </is>
      </c>
      <c r="C248" s="7">
        <f>"adj. [解剖] 心血管的"</f>
        <v/>
      </c>
      <c r="G248" s="18">
        <f>HYPERLINK("D:\python\英语学习\voices\"&amp;B248&amp;"_1.mp3","BrE")</f>
        <v/>
      </c>
      <c r="H248" s="18">
        <f>HYPERLINK("D:\python\英语学习\voices\"&amp;B248&amp;"_2.mp3","AmE")</f>
        <v/>
      </c>
      <c r="I248" s="18">
        <f>HYPERLINK("http://dict.youdao.com/w/"&amp;B248,"有道")</f>
        <v/>
      </c>
    </row>
    <row customHeight="1" ht="28.5" r="249">
      <c r="B249" s="1" t="inlineStr">
        <is>
          <t>caress</t>
        </is>
      </c>
      <c r="C249" s="7">
        <f>"vt. 爱抚，抚抱"&amp;CHAR(10)&amp;"n. 爱抚，拥抱；接吻"</f>
        <v/>
      </c>
      <c r="G249" s="18">
        <f>HYPERLINK("D:\python\英语学习\voices\"&amp;B249&amp;"_1.mp3","BrE")</f>
        <v/>
      </c>
      <c r="H249" s="18">
        <f>HYPERLINK("D:\python\英语学习\voices\"&amp;B249&amp;"_2.mp3","AmE")</f>
        <v/>
      </c>
      <c r="I249" s="18">
        <f>HYPERLINK("http://dict.youdao.com/w/"&amp;B249,"有道")</f>
        <v/>
      </c>
    </row>
    <row customHeight="1" ht="28.5" r="250">
      <c r="B250" s="1" t="inlineStr">
        <is>
          <t>cartridge</t>
        </is>
      </c>
      <c r="C250" s="7">
        <f>"n. 弹药筒，打印机的（墨盒）；[摄] 暗盒；笔芯；一卷软片"</f>
        <v/>
      </c>
      <c r="G250" s="18">
        <f>HYPERLINK("D:\python\英语学习\voices\"&amp;B250&amp;"_1.mp3","BrE")</f>
        <v/>
      </c>
      <c r="H250" s="18">
        <f>HYPERLINK("D:\python\英语学习\voices\"&amp;B250&amp;"_2.mp3","AmE")</f>
        <v/>
      </c>
      <c r="I250" s="18">
        <f>HYPERLINK("http://dict.youdao.com/w/"&amp;B250,"有道")</f>
        <v/>
      </c>
    </row>
    <row customHeight="1" ht="42.75" r="251">
      <c r="B251" s="1" t="inlineStr">
        <is>
          <t>cascade</t>
        </is>
      </c>
      <c r="C251" s="7">
        <f>"n. 小瀑布，瀑布状物；串联"&amp;CHAR(10)&amp;"vi. 像瀑布般大量倾泻下来"&amp;CHAR(10)&amp;"vi. 像瀑布般悬挂着"</f>
        <v/>
      </c>
      <c r="G251" s="18">
        <f>HYPERLINK("D:\python\英语学习\voices\"&amp;B251&amp;"_1.mp3","BrE")</f>
        <v/>
      </c>
      <c r="H251" s="18">
        <f>HYPERLINK("D:\python\英语学习\voices\"&amp;B251&amp;"_2.mp3","AmE")</f>
        <v/>
      </c>
      <c r="I251" s="18">
        <f>HYPERLINK("http://dict.youdao.com/w/"&amp;B251,"有道")</f>
        <v/>
      </c>
    </row>
    <row customHeight="1" ht="28.5" r="252">
      <c r="B252" s="1" t="inlineStr">
        <is>
          <t>cashier</t>
        </is>
      </c>
      <c r="C252" s="7">
        <f>"n. 出纳员；司库；收银员"&amp;CHAR(10)&amp;"vt. 解雇；抛弃"</f>
        <v/>
      </c>
      <c r="E252" s="6" t="inlineStr">
        <is>
          <t>注意发音 重音在后</t>
        </is>
      </c>
      <c r="G252" s="18">
        <f>HYPERLINK("D:\python\英语学习\voices\"&amp;B252&amp;"_1.mp3","BrE")</f>
        <v/>
      </c>
      <c r="H252" s="18">
        <f>HYPERLINK("D:\python\英语学习\voices\"&amp;B252&amp;"_2.mp3","AmE")</f>
        <v/>
      </c>
      <c r="I252" s="18">
        <f>HYPERLINK("http://dict.youdao.com/w/"&amp;B252,"有道")</f>
        <v/>
      </c>
    </row>
    <row customHeight="1" ht="29.1" r="253">
      <c r="B253" s="1" t="inlineStr">
        <is>
          <t>catastrophic</t>
        </is>
      </c>
      <c r="C253" s="7">
        <f>"adj. 灾难的；悲惨的；灾难性的，毁灭性的"</f>
        <v/>
      </c>
      <c r="G253" s="18">
        <f>HYPERLINK("D:\python\英语学习\voices\"&amp;B253&amp;"_1.mp3","BrE")</f>
        <v/>
      </c>
      <c r="H253" s="18">
        <f>HYPERLINK("D:\python\英语学习\voices\"&amp;B253&amp;"_2.mp3","AmE")</f>
        <v/>
      </c>
      <c r="I253" s="18">
        <f>HYPERLINK("http://dict.youdao.com/w/"&amp;B253,"有道")</f>
        <v/>
      </c>
    </row>
    <row r="254">
      <c r="B254" s="1" t="inlineStr">
        <is>
          <t>category</t>
        </is>
      </c>
      <c r="C254" s="7">
        <f>"n. 种类，分类；[数] 范畴"</f>
        <v/>
      </c>
      <c r="G254" s="18">
        <f>HYPERLINK("D:\python\英语学习\voices\"&amp;B254&amp;"_1.mp3","BrE")</f>
        <v/>
      </c>
      <c r="H254" s="18">
        <f>HYPERLINK("D:\python\英语学习\voices\"&amp;B254&amp;"_2.mp3","AmE")</f>
        <v/>
      </c>
      <c r="I254" s="18">
        <f>HYPERLINK("http://dict.youdao.com/w/"&amp;B254,"有道")</f>
        <v/>
      </c>
    </row>
    <row customHeight="1" ht="28.5" r="255">
      <c r="B255" s="1" t="inlineStr">
        <is>
          <t>cater</t>
        </is>
      </c>
      <c r="C255" s="7">
        <f>"vt. 投合，迎合；满足需要；提供饮食及服务"&amp;CHAR(10)&amp;"n. (Cater)人名；(英)凯特"</f>
        <v/>
      </c>
      <c r="E255" s="6" t="inlineStr">
        <is>
          <t>cater to满足...需要；cater for迎合;供应伙食</t>
        </is>
      </c>
      <c r="G255" s="18">
        <f>HYPERLINK("D:\python\英语学习\voices\"&amp;B255&amp;"_1.mp3","BrE")</f>
        <v/>
      </c>
      <c r="H255" s="18">
        <f>HYPERLINK("D:\python\英语学习\voices\"&amp;B255&amp;"_2.mp3","AmE")</f>
        <v/>
      </c>
      <c r="I255" s="18">
        <f>HYPERLINK("http://dict.youdao.com/w/"&amp;B255,"有道")</f>
        <v/>
      </c>
    </row>
    <row customHeight="1" ht="28.5" r="256">
      <c r="B256" s="1" t="inlineStr">
        <is>
          <t>caucus</t>
        </is>
      </c>
      <c r="C256" s="7">
        <f>"n. 干部会议；核心会议；党团会议"&amp;CHAR(10)&amp;"vi. 召开干部会议；开核心会议"</f>
        <v/>
      </c>
      <c r="G256" s="18">
        <f>HYPERLINK("D:\python\英语学习\voices\"&amp;B256&amp;"_1.mp3","BrE")</f>
        <v/>
      </c>
      <c r="H256" s="18">
        <f>HYPERLINK("D:\python\英语学习\voices\"&amp;B256&amp;"_2.mp3","AmE")</f>
        <v/>
      </c>
      <c r="I256" s="18">
        <f>HYPERLINK("http://dict.youdao.com/w/"&amp;B256,"有道")</f>
        <v/>
      </c>
    </row>
    <row customHeight="1" ht="28.5" r="257">
      <c r="B257" s="1" t="inlineStr">
        <is>
          <t>causal</t>
        </is>
      </c>
      <c r="C257" s="7">
        <f>"adj. 因果关系的；有原因的"&amp;CHAR(10)&amp;"n. 表示原因的连词"</f>
        <v/>
      </c>
      <c r="G257" s="18">
        <f>HYPERLINK("D:\python\英语学习\voices\"&amp;B257&amp;"_1.mp3","BrE")</f>
        <v/>
      </c>
      <c r="H257" s="18">
        <f>HYPERLINK("D:\python\英语学习\voices\"&amp;B257&amp;"_2.mp3","AmE")</f>
        <v/>
      </c>
      <c r="I257" s="18">
        <f>HYPERLINK("http://dict.youdao.com/w/"&amp;B257,"有道")</f>
        <v/>
      </c>
    </row>
    <row r="258">
      <c r="B258" s="1" t="inlineStr">
        <is>
          <t>cavalry</t>
        </is>
      </c>
      <c r="C258" s="7">
        <f>"n. 骑兵；装甲兵；装甲部队"</f>
        <v/>
      </c>
      <c r="G258" s="18">
        <f>HYPERLINK("D:\python\英语学习\voices\"&amp;B258&amp;"_1.mp3","BrE")</f>
        <v/>
      </c>
      <c r="H258" s="18">
        <f>HYPERLINK("D:\python\英语学习\voices\"&amp;B258&amp;"_2.mp3","AmE")</f>
        <v/>
      </c>
      <c r="I258" s="18">
        <f>HYPERLINK("http://dict.youdao.com/w/"&amp;B258,"有道")</f>
        <v/>
      </c>
    </row>
    <row r="259">
      <c r="B259" s="1" t="inlineStr">
        <is>
          <t>cavity</t>
        </is>
      </c>
      <c r="C259" s="7">
        <f>"n. 腔；洞，凹处"</f>
        <v/>
      </c>
      <c r="G259" s="18">
        <f>HYPERLINK("D:\python\英语学习\voices\"&amp;B259&amp;"_1.mp3","BrE")</f>
        <v/>
      </c>
      <c r="H259" s="18">
        <f>HYPERLINK("D:\python\英语学习\voices\"&amp;B259&amp;"_2.mp3","AmE")</f>
        <v/>
      </c>
      <c r="I259" s="18">
        <f>HYPERLINK("http://dict.youdao.com/w/"&amp;B259,"有道")</f>
        <v/>
      </c>
    </row>
    <row customHeight="1" ht="42.75" r="260">
      <c r="B260" s="1" t="inlineStr">
        <is>
          <t>cellar</t>
        </is>
      </c>
      <c r="C260" s="7">
        <f>"n. 地窖；酒窖；地下室"&amp;CHAR(10)&amp;"vt. 把…藏入地窖"&amp;CHAR(10)&amp;"n. (Cellar)人名；(捷)采拉尔"</f>
        <v/>
      </c>
      <c r="G260" s="18">
        <f>HYPERLINK("D:\python\英语学习\voices\"&amp;B260&amp;"_1.mp3","BrE")</f>
        <v/>
      </c>
      <c r="H260" s="18">
        <f>HYPERLINK("D:\python\英语学习\voices\"&amp;B260&amp;"_2.mp3","AmE")</f>
        <v/>
      </c>
      <c r="I260" s="18">
        <f>HYPERLINK("http://dict.youdao.com/w/"&amp;B260,"有道")</f>
        <v/>
      </c>
    </row>
    <row r="261">
      <c r="B261" s="1" t="inlineStr">
        <is>
          <t>censorship</t>
        </is>
      </c>
      <c r="C261" s="7">
        <f>"n. 审查制度；审查机构"</f>
        <v/>
      </c>
      <c r="G261" s="18">
        <f>HYPERLINK("D:\python\英语学习\voices\"&amp;B261&amp;"_1.mp3","BrE")</f>
        <v/>
      </c>
      <c r="H261" s="18">
        <f>HYPERLINK("D:\python\英语学习\voices\"&amp;B261&amp;"_2.mp3","AmE")</f>
        <v/>
      </c>
      <c r="I261" s="18">
        <f>HYPERLINK("http://dict.youdao.com/w/"&amp;B261,"有道")</f>
        <v/>
      </c>
    </row>
    <row customHeight="1" ht="42.75" r="262">
      <c r="A262" s="1" t="inlineStr">
        <is>
          <t>important</t>
        </is>
      </c>
      <c r="B262" s="1" t="inlineStr">
        <is>
          <t>eloquent</t>
        </is>
      </c>
      <c r="C262" s="7">
        <f>"adj. 意味深长的；雄辩的，有口才的；有说服力的；动人的"</f>
        <v/>
      </c>
      <c r="G262" s="18">
        <f>HYPERLINK("D:\python\英语学习\voices\"&amp;B262&amp;"_1.mp3","BrE")</f>
        <v/>
      </c>
      <c r="H262" s="18">
        <f>HYPERLINK("D:\python\英语学习\voices\"&amp;B262&amp;"_2.mp3","AmE")</f>
        <v/>
      </c>
      <c r="I262" s="18">
        <f>HYPERLINK("http://dict.youdao.com/w/"&amp;B262,"有道")</f>
        <v/>
      </c>
    </row>
    <row customHeight="1" ht="28.5" r="263">
      <c r="B263" s="1" t="inlineStr">
        <is>
          <t>ceramic</t>
        </is>
      </c>
      <c r="C263" s="7">
        <f>"adj. 陶瓷的；陶器的；制陶艺术的"&amp;CHAR(10)&amp;"n. 陶瓷；陶瓷制品"</f>
        <v/>
      </c>
      <c r="G263" s="18">
        <f>HYPERLINK("D:\python\英语学习\voices\"&amp;B263&amp;"_1.mp3","BrE")</f>
        <v/>
      </c>
      <c r="H263" s="18">
        <f>HYPERLINK("D:\python\英语学习\voices\"&amp;B263&amp;"_2.mp3","AmE")</f>
        <v/>
      </c>
      <c r="I263" s="18">
        <f>HYPERLINK("http://dict.youdao.com/w/"&amp;B263,"有道")</f>
        <v/>
      </c>
    </row>
    <row r="264">
      <c r="A264" s="1" t="inlineStr">
        <is>
          <t>unnecessary</t>
        </is>
      </c>
      <c r="B264" s="1" t="inlineStr">
        <is>
          <t>cerebral</t>
        </is>
      </c>
      <c r="C264" s="7">
        <f>"adj. 大脑的，脑的"</f>
        <v/>
      </c>
      <c r="E264" s="16" t="inlineStr">
        <is>
          <t>重音在r</t>
        </is>
      </c>
      <c r="G264" s="18">
        <f>HYPERLINK("D:\python\英语学习\voices\"&amp;B264&amp;"_1.mp3","BrE")</f>
        <v/>
      </c>
      <c r="H264" s="18">
        <f>HYPERLINK("D:\python\英语学习\voices\"&amp;B264&amp;"_2.mp3","AmE")</f>
        <v/>
      </c>
      <c r="I264" s="18">
        <f>HYPERLINK("http://dict.youdao.com/w/"&amp;B264,"有道")</f>
        <v/>
      </c>
    </row>
    <row customHeight="1" ht="28.5" r="265">
      <c r="B265" s="1" t="inlineStr">
        <is>
          <t>ceremonial</t>
        </is>
      </c>
      <c r="C265" s="7">
        <f>"adj. 仪式的；正式的，礼仪的"&amp;CHAR(10)&amp;"n. 仪式，礼节"</f>
        <v/>
      </c>
      <c r="G265" s="18">
        <f>HYPERLINK("D:\python\英语学习\voices\"&amp;B265&amp;"_1.mp3","BrE")</f>
        <v/>
      </c>
      <c r="H265" s="18">
        <f>HYPERLINK("D:\python\英语学习\voices\"&amp;B265&amp;"_2.mp3","AmE")</f>
        <v/>
      </c>
      <c r="I265" s="18">
        <f>HYPERLINK("http://dict.youdao.com/w/"&amp;B265,"有道")</f>
        <v/>
      </c>
    </row>
    <row r="266">
      <c r="B266" s="1" t="inlineStr">
        <is>
          <t>certainty</t>
        </is>
      </c>
      <c r="C266" s="7">
        <f>"n. 必然；确实；确实的事情"</f>
        <v/>
      </c>
      <c r="G266" s="18">
        <f>HYPERLINK("D:\python\英语学习\voices\"&amp;B266&amp;"_1.mp3","BrE")</f>
        <v/>
      </c>
      <c r="H266" s="18">
        <f>HYPERLINK("D:\python\英语学习\voices\"&amp;B266&amp;"_2.mp3","AmE")</f>
        <v/>
      </c>
      <c r="I266" s="18">
        <f>HYPERLINK("http://dict.youdao.com/w/"&amp;B266,"有道")</f>
        <v/>
      </c>
    </row>
    <row customHeight="1" ht="85.5" r="267">
      <c r="B267" s="1" t="inlineStr">
        <is>
          <t>champ</t>
        </is>
      </c>
      <c r="C267" s="7">
        <f>"n. 咀嚼；咀嚼声"&amp;CHAR(10)&amp;"vt. 焦急；大声地嚼；格格地咬"&amp;CHAR(10)&amp;"vi. 咬；啮（过去式champed，过去分词champed，现在分词champing，第三人称单数champs）"&amp;CHAR(10)&amp;"n. (Champ)人名；(法)尚；(英)钱普"</f>
        <v/>
      </c>
      <c r="E267" s="6" t="inlineStr">
        <is>
          <t>好像哪个动画电影里有这个名字，不记得了</t>
        </is>
      </c>
      <c r="G267" s="18">
        <f>HYPERLINK("D:\python\英语学习\voices\"&amp;B267&amp;"_1.mp3","BrE")</f>
        <v/>
      </c>
      <c r="H267" s="18">
        <f>HYPERLINK("D:\python\英语学习\voices\"&amp;B267&amp;"_2.mp3","AmE")</f>
        <v/>
      </c>
      <c r="I267" s="18">
        <f>HYPERLINK("http://dict.youdao.com/w/"&amp;B267,"有道")</f>
        <v/>
      </c>
    </row>
    <row customHeight="1" ht="57" r="268">
      <c r="B268" s="1" t="inlineStr">
        <is>
          <t>chap</t>
        </is>
      </c>
      <c r="C268" s="7">
        <f>"n. 小伙子；家伙；龟裂"&amp;CHAR(10)&amp;"vt. 使皲裂"&amp;CHAR(10)&amp;"vi. 皲裂"&amp;CHAR(10)&amp;"n. (Chap)人名；(柬)乍"</f>
        <v/>
      </c>
      <c r="G268" s="18">
        <f>HYPERLINK("D:\python\英语学习\voices\"&amp;B268&amp;"_1.mp3","BrE")</f>
        <v/>
      </c>
      <c r="H268" s="18">
        <f>HYPERLINK("D:\python\英语学习\voices\"&amp;B268&amp;"_2.mp3","AmE")</f>
        <v/>
      </c>
      <c r="I268" s="18">
        <f>HYPERLINK("http://dict.youdao.com/w/"&amp;B268,"有道")</f>
        <v/>
      </c>
    </row>
    <row r="269">
      <c r="B269" s="1" t="inlineStr">
        <is>
          <t>characterization</t>
        </is>
      </c>
      <c r="C269" s="7">
        <f>"n. 描述；特性描述"</f>
        <v/>
      </c>
      <c r="G269" s="18">
        <f>HYPERLINK("D:\python\英语学习\voices\"&amp;B269&amp;"_1.mp3","BrE")</f>
        <v/>
      </c>
      <c r="H269" s="18">
        <f>HYPERLINK("D:\python\英语学习\voices\"&amp;B269&amp;"_2.mp3","AmE")</f>
        <v/>
      </c>
      <c r="I269" s="18">
        <f>HYPERLINK("http://dict.youdao.com/w/"&amp;B269,"有道")</f>
        <v/>
      </c>
    </row>
    <row customHeight="1" ht="57" r="270">
      <c r="B270" s="1" t="inlineStr">
        <is>
          <t>charcoal</t>
        </is>
      </c>
      <c r="C270" s="7">
        <f>"n. 木炭；炭笔"&amp;CHAR(10)&amp;"vt. 用木炭画（过去式charcoaled，过去分词charcoaled，现在分词charcoaling，第三人称单数charcoals）"</f>
        <v/>
      </c>
      <c r="G270" s="18">
        <f>HYPERLINK("D:\python\英语学习\voices\"&amp;B270&amp;"_1.mp3","BrE")</f>
        <v/>
      </c>
      <c r="H270" s="18">
        <f>HYPERLINK("D:\python\英语学习\voices\"&amp;B270&amp;"_2.mp3","AmE")</f>
        <v/>
      </c>
      <c r="I270" s="18">
        <f>HYPERLINK("http://dict.youdao.com/w/"&amp;B270,"有道")</f>
        <v/>
      </c>
    </row>
    <row customHeight="1" ht="29.1" r="271">
      <c r="B271" s="1" t="inlineStr">
        <is>
          <t>charitable</t>
        </is>
      </c>
      <c r="C271" s="7">
        <f>"adj. 慈善事业的；慷慨的，仁慈的；宽恕的"</f>
        <v/>
      </c>
      <c r="G271" s="18">
        <f>HYPERLINK("D:\python\英语学习\voices\"&amp;B271&amp;"_1.mp3","BrE")</f>
        <v/>
      </c>
      <c r="H271" s="18">
        <f>HYPERLINK("D:\python\英语学习\voices\"&amp;B271&amp;"_2.mp3","AmE")</f>
        <v/>
      </c>
      <c r="I271" s="18">
        <f>HYPERLINK("http://dict.youdao.com/w/"&amp;B271,"有道")</f>
        <v/>
      </c>
    </row>
    <row customHeight="1" ht="42.75" r="272">
      <c r="B272" s="1" t="inlineStr">
        <is>
          <t>charm</t>
        </is>
      </c>
      <c r="C272" s="7">
        <f>"n. 魅力，吸引力；魔力"&amp;CHAR(10)&amp;"vt. 使陶醉；行魔法"&amp;CHAR(10)&amp;"vi. 有魔力；用符咒"</f>
        <v/>
      </c>
      <c r="E272" s="6" t="inlineStr">
        <is>
          <t>好多意思</t>
        </is>
      </c>
      <c r="G272" s="18">
        <f>HYPERLINK("D:\python\英语学习\voices\"&amp;B272&amp;"_1.mp3","BrE")</f>
        <v/>
      </c>
      <c r="H272" s="18">
        <f>HYPERLINK("D:\python\英语学习\voices\"&amp;B272&amp;"_2.mp3","AmE")</f>
        <v/>
      </c>
      <c r="I272" s="18">
        <f>HYPERLINK("http://dict.youdao.com/w/"&amp;B272,"有道")</f>
        <v/>
      </c>
    </row>
    <row customHeight="1" ht="42.75" r="273">
      <c r="B273" s="1" t="inlineStr">
        <is>
          <t>charter</t>
        </is>
      </c>
      <c r="C273" s="7">
        <f>"vt. 特许；包租；发给特许执照"&amp;CHAR(10)&amp;"n. 宪章；执照；特许状"&amp;CHAR(10)&amp;"n. (Charter)人名；(法)沙尔泰；(英)查特"</f>
        <v/>
      </c>
      <c r="G273" s="18">
        <f>HYPERLINK("D:\python\英语学习\voices\"&amp;B273&amp;"_1.mp3","BrE")</f>
        <v/>
      </c>
      <c r="H273" s="18">
        <f>HYPERLINK("D:\python\英语学习\voices\"&amp;B273&amp;"_2.mp3","AmE")</f>
        <v/>
      </c>
      <c r="I273" s="18">
        <f>HYPERLINK("http://dict.youdao.com/w/"&amp;B273,"有道")</f>
        <v/>
      </c>
    </row>
    <row customHeight="1" ht="42.75" r="274">
      <c r="B274" s="1" t="inlineStr">
        <is>
          <t>chestnut</t>
        </is>
      </c>
      <c r="C274" s="7">
        <f>"n. 栗子；栗色；[园艺] 栗树；栗色马"&amp;CHAR(10)&amp;"adj. 栗色的"&amp;CHAR(10)&amp;"n. (Chestnut)人名；(英)切斯特纳特"</f>
        <v/>
      </c>
      <c r="G274" s="18">
        <f>HYPERLINK("D:\python\英语学习\voices\"&amp;B274&amp;"_1.mp3","BrE")</f>
        <v/>
      </c>
      <c r="H274" s="18">
        <f>HYPERLINK("D:\python\英语学习\voices\"&amp;B274&amp;"_2.mp3","AmE")</f>
        <v/>
      </c>
      <c r="I274" s="18">
        <f>HYPERLINK("http://dict.youdao.com/w/"&amp;B274,"有道")</f>
        <v/>
      </c>
    </row>
    <row r="275">
      <c r="B275" s="1" t="inlineStr">
        <is>
          <t>chiefly</t>
        </is>
      </c>
      <c r="C275" s="7">
        <f>"adv. 主要地；首先"</f>
        <v/>
      </c>
      <c r="G275" s="18">
        <f>HYPERLINK("D:\python\英语学习\voices\"&amp;B275&amp;"_1.mp3","BrE")</f>
        <v/>
      </c>
      <c r="H275" s="18">
        <f>HYPERLINK("D:\python\英语学习\voices\"&amp;B275&amp;"_2.mp3","AmE")</f>
        <v/>
      </c>
      <c r="I275" s="18">
        <f>HYPERLINK("http://dict.youdao.com/w/"&amp;B275,"有道")</f>
        <v/>
      </c>
    </row>
    <row customHeight="1" ht="71.25" r="276">
      <c r="B276" s="1" t="inlineStr">
        <is>
          <t>chin</t>
        </is>
      </c>
      <c r="C276" s="7">
        <f>"n. 下巴；聊天；引体向上动作"&amp;CHAR(10)&amp;"vt. 用下巴夹住；与…聊天；在单杠上作引体向上动作"&amp;CHAR(10)&amp;"vi. 闲谈；作引体向上动作"&amp;CHAR(10)&amp;"n. (Chin)人名；(泰)真；(柬)金；(越)九；(西)钦"</f>
        <v/>
      </c>
      <c r="G276" s="18">
        <f>HYPERLINK("D:\python\英语学习\voices\"&amp;B276&amp;"_1.mp3","BrE")</f>
        <v/>
      </c>
      <c r="H276" s="18">
        <f>HYPERLINK("D:\python\英语学习\voices\"&amp;B276&amp;"_2.mp3","AmE")</f>
        <v/>
      </c>
      <c r="I276" s="18">
        <f>HYPERLINK("http://dict.youdao.com/w/"&amp;B276,"有道")</f>
        <v/>
      </c>
    </row>
    <row customHeight="1" ht="28.5" r="277">
      <c r="B277" s="1" t="inlineStr">
        <is>
          <t>chord</t>
        </is>
      </c>
      <c r="C277" s="7">
        <f>"n. 弦；和弦；香水的基调"&amp;CHAR(10)&amp;"n. (Chord)人名；(英)科德"</f>
        <v/>
      </c>
      <c r="G277" s="18">
        <f>HYPERLINK("D:\python\英语学习\voices\"&amp;B277&amp;"_1.mp3","BrE")</f>
        <v/>
      </c>
      <c r="H277" s="18">
        <f>HYPERLINK("D:\python\英语学习\voices\"&amp;B277&amp;"_2.mp3","AmE")</f>
        <v/>
      </c>
      <c r="I277" s="18">
        <f>HYPERLINK("http://dict.youdao.com/w/"&amp;B277,"有道")</f>
        <v/>
      </c>
    </row>
    <row customHeight="1" ht="28.5" r="278">
      <c r="B278" s="1" t="inlineStr">
        <is>
          <t>chromosome</t>
        </is>
      </c>
      <c r="C278" s="7">
        <f>"n. [遗][细胞][染料] 染色体（形容词chromosomal，副词chromosomally）"</f>
        <v/>
      </c>
      <c r="G278" s="18">
        <f>HYPERLINK("D:\python\英语学习\voices\"&amp;B278&amp;"_1.mp3","BrE")</f>
        <v/>
      </c>
      <c r="H278" s="18">
        <f>HYPERLINK("D:\python\英语学习\voices\"&amp;B278&amp;"_2.mp3","AmE")</f>
        <v/>
      </c>
      <c r="I278" s="18">
        <f>HYPERLINK("http://dict.youdao.com/w/"&amp;B278,"有道")</f>
        <v/>
      </c>
    </row>
    <row customHeight="1" ht="28.5" r="279">
      <c r="A279" s="1" t="inlineStr">
        <is>
          <t>important</t>
        </is>
      </c>
      <c r="B279" s="1" t="inlineStr">
        <is>
          <t>energize</t>
        </is>
      </c>
      <c r="C279" s="7">
        <f>"vt. 激励；使活跃；供给…能量"&amp;CHAR(10)&amp;"vi. 活动；用力"</f>
        <v/>
      </c>
      <c r="E279" s="6" t="inlineStr">
        <is>
          <t>激励-stimulate，提供能量-power</t>
        </is>
      </c>
      <c r="G279" s="18">
        <f>HYPERLINK("D:\python\英语学习\voices\"&amp;B279&amp;"_1.mp3","BrE")</f>
        <v/>
      </c>
      <c r="H279" s="18">
        <f>HYPERLINK("D:\python\英语学习\voices\"&amp;B279&amp;"_2.mp3","AmE")</f>
        <v/>
      </c>
      <c r="I279" s="18">
        <f>HYPERLINK("http://dict.youdao.com/w/"&amp;B279,"有道")</f>
        <v/>
      </c>
    </row>
    <row customHeight="1" ht="28.5" r="280">
      <c r="B280" s="1" t="inlineStr">
        <is>
          <t>chronicle</t>
        </is>
      </c>
      <c r="C280" s="7">
        <f>"n. 编年史，年代记；记录"&amp;CHAR(10)&amp;"vt. 记录；把…载入编年史"</f>
        <v/>
      </c>
      <c r="G280" s="18">
        <f>HYPERLINK("D:\python\英语学习\voices\"&amp;B280&amp;"_1.mp3","BrE")</f>
        <v/>
      </c>
      <c r="H280" s="18">
        <f>HYPERLINK("D:\python\英语学习\voices\"&amp;B280&amp;"_2.mp3","AmE")</f>
        <v/>
      </c>
      <c r="I280" s="18">
        <f>HYPERLINK("http://dict.youdao.com/w/"&amp;B280,"有道")</f>
        <v/>
      </c>
    </row>
    <row customHeight="1" ht="28.5" r="281">
      <c r="B281" s="1" t="inlineStr">
        <is>
          <t>chuck</t>
        </is>
      </c>
      <c r="C281" s="7">
        <f>"n. [机] 卡盘；抚弄；赶走；恰克（人名）"&amp;CHAR(10)&amp;"vt. 丢弃，抛掷；驱逐；轻拍"</f>
        <v/>
      </c>
      <c r="G281" s="18">
        <f>HYPERLINK("D:\python\英语学习\voices\"&amp;B281&amp;"_1.mp3","BrE")</f>
        <v/>
      </c>
      <c r="H281" s="18">
        <f>HYPERLINK("D:\python\英语学习\voices\"&amp;B281&amp;"_2.mp3","AmE")</f>
        <v/>
      </c>
      <c r="I281" s="18">
        <f>HYPERLINK("http://dict.youdao.com/w/"&amp;B281,"有道")</f>
        <v/>
      </c>
    </row>
    <row customHeight="1" ht="42.75" r="282">
      <c r="A282" s="1" t="inlineStr">
        <is>
          <t>important</t>
        </is>
      </c>
      <c r="B282" s="1" t="inlineStr">
        <is>
          <t>exceedingly</t>
        </is>
      </c>
      <c r="C282" s="7">
        <f>"adv. 非常；极其；极度地；极端"</f>
        <v/>
      </c>
      <c r="G282" s="18">
        <f>HYPERLINK("D:\python\英语学习\voices\"&amp;B282&amp;"_1.mp3","BrE")</f>
        <v/>
      </c>
      <c r="H282" s="18">
        <f>HYPERLINK("D:\python\英语学习\voices\"&amp;B282&amp;"_2.mp3","AmE")</f>
        <v/>
      </c>
      <c r="I282" s="18">
        <f>HYPERLINK("http://dict.youdao.com/w/"&amp;B282,"有道")</f>
        <v/>
      </c>
    </row>
    <row customHeight="1" ht="28.5" r="283">
      <c r="B283" s="1" t="inlineStr">
        <is>
          <t>circular</t>
        </is>
      </c>
      <c r="C283" s="7">
        <f>"adj. 循环的；圆形的"&amp;CHAR(10)&amp;"n. 通知，传单"</f>
        <v/>
      </c>
      <c r="G283" s="18">
        <f>HYPERLINK("D:\python\英语学习\voices\"&amp;B283&amp;"_1.mp3","BrE")</f>
        <v/>
      </c>
      <c r="H283" s="18">
        <f>HYPERLINK("D:\python\英语学习\voices\"&amp;B283&amp;"_2.mp3","AmE")</f>
        <v/>
      </c>
      <c r="I283" s="18">
        <f>HYPERLINK("http://dict.youdao.com/w/"&amp;B283,"有道")</f>
        <v/>
      </c>
    </row>
    <row r="284">
      <c r="B284" s="1" t="inlineStr">
        <is>
          <t>circumference</t>
        </is>
      </c>
      <c r="C284" s="7">
        <f>"n. 圆周；周长；胸围"</f>
        <v/>
      </c>
      <c r="G284" s="18">
        <f>HYPERLINK("D:\python\英语学习\voices\"&amp;B284&amp;"_1.mp3","BrE")</f>
        <v/>
      </c>
      <c r="H284" s="18">
        <f>HYPERLINK("D:\python\英语学习\voices\"&amp;B284&amp;"_2.mp3","AmE")</f>
        <v/>
      </c>
      <c r="I284" s="18">
        <f>HYPERLINK("http://dict.youdao.com/w/"&amp;B284,"有道")</f>
        <v/>
      </c>
    </row>
    <row r="285">
      <c r="B285" s="1" t="inlineStr">
        <is>
          <t>citation</t>
        </is>
      </c>
      <c r="C285" s="7">
        <f>"n. 引用，引证；[法] 传票；褒扬"</f>
        <v/>
      </c>
      <c r="G285" s="18">
        <f>HYPERLINK("D:\python\英语学习\voices\"&amp;B285&amp;"_1.mp3","BrE")</f>
        <v/>
      </c>
      <c r="H285" s="18">
        <f>HYPERLINK("D:\python\英语学习\voices\"&amp;B285&amp;"_2.mp3","AmE")</f>
        <v/>
      </c>
      <c r="I285" s="18">
        <f>HYPERLINK("http://dict.youdao.com/w/"&amp;B285,"有道")</f>
        <v/>
      </c>
    </row>
    <row r="286">
      <c r="B286" s="1" t="inlineStr">
        <is>
          <t>cite</t>
        </is>
      </c>
      <c r="C286" s="7">
        <f>"vt. 引用；传讯；想起；表彰"</f>
        <v/>
      </c>
      <c r="G286" s="18">
        <f>HYPERLINK("D:\python\英语学习\voices\"&amp;B286&amp;"_1.mp3","BrE")</f>
        <v/>
      </c>
      <c r="H286" s="18">
        <f>HYPERLINK("D:\python\英语学习\voices\"&amp;B286&amp;"_2.mp3","AmE")</f>
        <v/>
      </c>
      <c r="I286" s="18">
        <f>HYPERLINK("http://dict.youdao.com/w/"&amp;B286,"有道")</f>
        <v/>
      </c>
    </row>
    <row customHeight="1" ht="28.5" r="287">
      <c r="B287" s="1" t="inlineStr">
        <is>
          <t>civilize</t>
        </is>
      </c>
      <c r="C287" s="7">
        <f>"vt. 使文明；教化；使开化"&amp;CHAR(10)&amp;"vi. 变得文明"</f>
        <v/>
      </c>
      <c r="G287" s="18">
        <f>HYPERLINK("D:\python\英语学习\voices\"&amp;B287&amp;"_1.mp3","BrE")</f>
        <v/>
      </c>
      <c r="H287" s="18">
        <f>HYPERLINK("D:\python\英语学习\voices\"&amp;B287&amp;"_2.mp3","AmE")</f>
        <v/>
      </c>
      <c r="I287" s="18">
        <f>HYPERLINK("http://dict.youdao.com/w/"&amp;B287,"有道")</f>
        <v/>
      </c>
    </row>
    <row customHeight="1" ht="42.75" r="288">
      <c r="B288" s="1" t="inlineStr">
        <is>
          <t>claim</t>
        </is>
      </c>
      <c r="C288" s="7">
        <f>"vi. 提出要求"&amp;CHAR(10)&amp;"vt. 要求；声称；需要；认领"&amp;CHAR(10)&amp;"n. 要求；声称；索赔；断言；值得"</f>
        <v/>
      </c>
      <c r="G288" s="18">
        <f>HYPERLINK("D:\python\英语学习\voices\"&amp;B288&amp;"_1.mp3","BrE")</f>
        <v/>
      </c>
      <c r="H288" s="18">
        <f>HYPERLINK("D:\python\英语学习\voices\"&amp;B288&amp;"_2.mp3","AmE")</f>
        <v/>
      </c>
      <c r="I288" s="18">
        <f>HYPERLINK("http://dict.youdao.com/w/"&amp;B288,"有道")</f>
        <v/>
      </c>
    </row>
    <row customHeight="1" ht="28.5" r="289">
      <c r="B289" s="1" t="inlineStr">
        <is>
          <t>clamp</t>
        </is>
      </c>
      <c r="C289" s="7">
        <f>"vt. 夹紧，固定住"&amp;CHAR(10)&amp;"n. 夹钳，螺丝钳"</f>
        <v/>
      </c>
      <c r="G289" s="18">
        <f>HYPERLINK("D:\python\英语学习\voices\"&amp;B289&amp;"_1.mp3","BrE")</f>
        <v/>
      </c>
      <c r="H289" s="18">
        <f>HYPERLINK("D:\python\英语学习\voices\"&amp;B289&amp;"_2.mp3","AmE")</f>
        <v/>
      </c>
      <c r="I289" s="18">
        <f>HYPERLINK("http://dict.youdao.com/w/"&amp;B289,"有道")</f>
        <v/>
      </c>
    </row>
    <row customHeight="1" ht="42.75" r="290">
      <c r="B290" s="1" t="inlineStr">
        <is>
          <t>clasp</t>
        </is>
      </c>
      <c r="C290" s="7">
        <f>"n. 扣子，钩子；握手"&amp;CHAR(10)&amp;"vt. 紧抱；扣紧；紧紧缠绕"&amp;CHAR(10)&amp;"vi. 扣住"</f>
        <v/>
      </c>
      <c r="G290" s="18">
        <f>HYPERLINK("D:\python\英语学习\voices\"&amp;B290&amp;"_1.mp3","BrE")</f>
        <v/>
      </c>
      <c r="H290" s="18">
        <f>HYPERLINK("D:\python\英语学习\voices\"&amp;B290&amp;"_2.mp3","AmE")</f>
        <v/>
      </c>
      <c r="I290" s="18">
        <f>HYPERLINK("http://dict.youdao.com/w/"&amp;B290,"有道")</f>
        <v/>
      </c>
    </row>
    <row customHeight="1" ht="42.75" r="291">
      <c r="B291" s="1" t="inlineStr">
        <is>
          <t>clatter</t>
        </is>
      </c>
      <c r="C291" s="7">
        <f>"n. 哗啦声；嘈杂的谈笑声；咔嗒声"&amp;CHAR(10)&amp;"vi. 发出哗啦声；喧闹的谈笑"&amp;CHAR(10)&amp;"vt. 使卡搭卡搭的响"</f>
        <v/>
      </c>
      <c r="G291" s="18">
        <f>HYPERLINK("D:\python\英语学习\voices\"&amp;B291&amp;"_1.mp3","BrE")</f>
        <v/>
      </c>
      <c r="H291" s="18">
        <f>HYPERLINK("D:\python\英语学习\voices\"&amp;B291&amp;"_2.mp3","AmE")</f>
        <v/>
      </c>
      <c r="I291" s="18">
        <f>HYPERLINK("http://dict.youdao.com/w/"&amp;B291,"有道")</f>
        <v/>
      </c>
    </row>
    <row customHeight="1" ht="28.5" r="292">
      <c r="B292" s="1" t="inlineStr">
        <is>
          <t>clause</t>
        </is>
      </c>
      <c r="C292" s="7">
        <f>"n. 条款；[计] 子句"&amp;CHAR(10)&amp;"n. (Clause)人名；(法)克洛斯"</f>
        <v/>
      </c>
      <c r="G292" s="18">
        <f>HYPERLINK("D:\python\英语学习\voices\"&amp;B292&amp;"_1.mp3","BrE")</f>
        <v/>
      </c>
      <c r="H292" s="18">
        <f>HYPERLINK("D:\python\英语学习\voices\"&amp;B292&amp;"_2.mp3","AmE")</f>
        <v/>
      </c>
      <c r="I292" s="18">
        <f>HYPERLINK("http://dict.youdao.com/w/"&amp;B292,"有道")</f>
        <v/>
      </c>
    </row>
    <row r="293">
      <c r="B293" s="1" t="inlineStr">
        <is>
          <t>cleanliness</t>
        </is>
      </c>
      <c r="C293" s="7">
        <f>"n. 清洁"</f>
        <v/>
      </c>
      <c r="G293" s="18">
        <f>HYPERLINK("D:\python\英语学习\voices\"&amp;B293&amp;"_1.mp3","BrE")</f>
        <v/>
      </c>
      <c r="H293" s="18">
        <f>HYPERLINK("D:\python\英语学习\voices\"&amp;B293&amp;"_2.mp3","AmE")</f>
        <v/>
      </c>
      <c r="I293" s="18">
        <f>HYPERLINK("http://dict.youdao.com/w/"&amp;B293,"有道")</f>
        <v/>
      </c>
    </row>
    <row r="294">
      <c r="B294" s="1" t="inlineStr">
        <is>
          <t>cleanse</t>
        </is>
      </c>
      <c r="C294" s="7">
        <f>"vt. 净化；使…纯净；使…清洁"</f>
        <v/>
      </c>
      <c r="G294" s="18">
        <f>HYPERLINK("D:\python\英语学习\voices\"&amp;B294&amp;"_1.mp3","BrE")</f>
        <v/>
      </c>
      <c r="H294" s="18">
        <f>HYPERLINK("D:\python\英语学习\voices\"&amp;B294&amp;"_2.mp3","AmE")</f>
        <v/>
      </c>
      <c r="I294" s="18">
        <f>HYPERLINK("http://dict.youdao.com/w/"&amp;B294,"有道")</f>
        <v/>
      </c>
    </row>
    <row r="295">
      <c r="B295" s="1" t="inlineStr">
        <is>
          <t>clearance</t>
        </is>
      </c>
      <c r="C295" s="7">
        <f>"n. 清除；空隙"</f>
        <v/>
      </c>
      <c r="G295" s="18">
        <f>HYPERLINK("D:\python\英语学习\voices\"&amp;B295&amp;"_1.mp3","BrE")</f>
        <v/>
      </c>
      <c r="H295" s="18">
        <f>HYPERLINK("D:\python\英语学习\voices\"&amp;B295&amp;"_2.mp3","AmE")</f>
        <v/>
      </c>
      <c r="I295" s="18">
        <f>HYPERLINK("http://dict.youdao.com/w/"&amp;B295,"有道")</f>
        <v/>
      </c>
    </row>
    <row r="296">
      <c r="B296" s="1" t="inlineStr">
        <is>
          <t>cleavage</t>
        </is>
      </c>
      <c r="C296" s="7">
        <f>"n. 劈开，分裂；[晶体] 解理；[胚] 卵裂"</f>
        <v/>
      </c>
      <c r="G296" s="18">
        <f>HYPERLINK("D:\python\英语学习\voices\"&amp;B296&amp;"_1.mp3","BrE")</f>
        <v/>
      </c>
      <c r="H296" s="18">
        <f>HYPERLINK("D:\python\英语学习\voices\"&amp;B296&amp;"_2.mp3","AmE")</f>
        <v/>
      </c>
      <c r="I296" s="18">
        <f>HYPERLINK("http://dict.youdao.com/w/"&amp;B296,"有道")</f>
        <v/>
      </c>
    </row>
    <row customHeight="1" ht="57" r="297">
      <c r="A297" t="inlineStr">
        <is>
          <t>important</t>
        </is>
      </c>
      <c r="B297" s="1" t="inlineStr">
        <is>
          <t>exceptional</t>
        </is>
      </c>
      <c r="C297" s="7">
        <f>"adj. 异常的，例外的"&amp;CHAR(10)&amp;"n. 超常的学生"</f>
        <v/>
      </c>
      <c r="E297" s="16" t="inlineStr">
        <is>
          <t>优秀的杰出的</t>
        </is>
      </c>
      <c r="G297" s="18">
        <f>HYPERLINK("D:\python\英语学习\voices\"&amp;B297&amp;"_1.mp3","BrE")</f>
        <v/>
      </c>
      <c r="H297" s="18">
        <f>HYPERLINK("D:\python\英语学习\voices\"&amp;B297&amp;"_2.mp3","AmE")</f>
        <v/>
      </c>
      <c r="I297" s="18">
        <f>HYPERLINK("http://dict.youdao.com/w/"&amp;B297,"有道")</f>
        <v/>
      </c>
    </row>
    <row customHeight="1" ht="28.5" r="298">
      <c r="B298" s="1" t="inlineStr">
        <is>
          <t>cliche</t>
        </is>
      </c>
      <c r="C298" s="7">
        <f>"n. 陈词滥调；[印刷] 铅版；陈腐思想"&amp;CHAR(10)&amp;"adj. 陈腐的"</f>
        <v/>
      </c>
      <c r="E298" s="6" t="inlineStr">
        <is>
          <t>常复数形式cliches</t>
        </is>
      </c>
      <c r="G298" s="18">
        <f>HYPERLINK("D:\python\英语学习\voices\"&amp;B298&amp;"_1.mp3","BrE")</f>
        <v/>
      </c>
      <c r="H298" s="18">
        <f>HYPERLINK("D:\python\英语学习\voices\"&amp;B298&amp;"_2.mp3","AmE")</f>
        <v/>
      </c>
      <c r="I298" s="18">
        <f>HYPERLINK("http://dict.youdao.com/w/"&amp;B298,"有道")</f>
        <v/>
      </c>
    </row>
    <row r="299">
      <c r="B299" s="1" t="inlineStr">
        <is>
          <t>climax</t>
        </is>
      </c>
      <c r="C299" s="7">
        <f>"n. 高潮；顶点；层进法；极点"</f>
        <v/>
      </c>
      <c r="G299" s="18">
        <f>HYPERLINK("D:\python\英语学习\voices\"&amp;B299&amp;"_1.mp3","BrE")</f>
        <v/>
      </c>
      <c r="H299" s="18">
        <f>HYPERLINK("D:\python\英语学习\voices\"&amp;B299&amp;"_2.mp3","AmE")</f>
        <v/>
      </c>
      <c r="I299" s="18">
        <f>HYPERLINK("http://dict.youdao.com/w/"&amp;B299,"有道")</f>
        <v/>
      </c>
    </row>
    <row r="300">
      <c r="B300" s="1" t="inlineStr">
        <is>
          <t>cling</t>
        </is>
      </c>
      <c r="C300" s="7">
        <f>"vi. 坚持，墨守；紧贴；附着"</f>
        <v/>
      </c>
      <c r="G300" s="18">
        <f>HYPERLINK("D:\python\英语学习\voices\"&amp;B300&amp;"_1.mp3","BrE")</f>
        <v/>
      </c>
      <c r="H300" s="18">
        <f>HYPERLINK("D:\python\英语学习\voices\"&amp;B300&amp;"_2.mp3","AmE")</f>
        <v/>
      </c>
      <c r="I300" s="18">
        <f>HYPERLINK("http://dict.youdao.com/w/"&amp;B300,"有道")</f>
        <v/>
      </c>
    </row>
    <row r="301">
      <c r="B301" s="1" t="inlineStr">
        <is>
          <t>clinic</t>
        </is>
      </c>
      <c r="C301" s="7">
        <f>"n. 临床；诊所"</f>
        <v/>
      </c>
      <c r="G301" s="18">
        <f>HYPERLINK("D:\python\英语学习\voices\"&amp;B301&amp;"_1.mp3","BrE")</f>
        <v/>
      </c>
      <c r="H301" s="18">
        <f>HYPERLINK("D:\python\英语学习\voices\"&amp;B301&amp;"_2.mp3","AmE")</f>
        <v/>
      </c>
      <c r="I301" s="18">
        <f>HYPERLINK("http://dict.youdao.com/w/"&amp;B301,"有道")</f>
        <v/>
      </c>
    </row>
    <row customHeight="1" ht="28.5" r="302">
      <c r="B302" s="1" t="inlineStr">
        <is>
          <t>clockwise</t>
        </is>
      </c>
      <c r="C302" s="7">
        <f>"adv. 顺时针方向地"&amp;CHAR(10)&amp;"adj. 顺时针方向的"</f>
        <v/>
      </c>
      <c r="G302" s="18">
        <f>HYPERLINK("D:\python\英语学习\voices\"&amp;B302&amp;"_1.mp3","BrE")</f>
        <v/>
      </c>
      <c r="H302" s="18">
        <f>HYPERLINK("D:\python\英语学习\voices\"&amp;B302&amp;"_2.mp3","AmE")</f>
        <v/>
      </c>
      <c r="I302" s="18">
        <f>HYPERLINK("http://dict.youdao.com/w/"&amp;B302,"有道")</f>
        <v/>
      </c>
    </row>
    <row customHeight="1" ht="57" r="303">
      <c r="B303" s="1" t="inlineStr">
        <is>
          <t>closet</t>
        </is>
      </c>
      <c r="C303" s="7">
        <f>"n. 壁橱；议事室，密室；小房间"&amp;CHAR(10)&amp;"adj. 秘密的，私下的；空谈的"&amp;CHAR(10)&amp;"vt. 把…关在私室中"&amp;CHAR(10)&amp;"n. (Closet)人名；(法)克洛塞"</f>
        <v/>
      </c>
      <c r="G303" s="18">
        <f>HYPERLINK("D:\python\英语学习\voices\"&amp;B303&amp;"_1.mp3","BrE")</f>
        <v/>
      </c>
      <c r="H303" s="18">
        <f>HYPERLINK("D:\python\英语学习\voices\"&amp;B303&amp;"_2.mp3","AmE")</f>
        <v/>
      </c>
      <c r="I303" s="18">
        <f>HYPERLINK("http://dict.youdao.com/w/"&amp;B303,"有道")</f>
        <v/>
      </c>
    </row>
    <row customHeight="1" ht="28.5" r="304">
      <c r="B304" s="1" t="inlineStr">
        <is>
          <t>clown</t>
        </is>
      </c>
      <c r="C304" s="7">
        <f>"n. 小丑；乡下人；粗鲁笨拙的人"&amp;CHAR(10)&amp;"vi. 扮小丑；装傻"</f>
        <v/>
      </c>
      <c r="G304" s="18">
        <f>HYPERLINK("D:\python\英语学习\voices\"&amp;B304&amp;"_1.mp3","BrE")</f>
        <v/>
      </c>
      <c r="H304" s="18">
        <f>HYPERLINK("D:\python\英语学习\voices\"&amp;B304&amp;"_2.mp3","AmE")</f>
        <v/>
      </c>
      <c r="I304" s="18">
        <f>HYPERLINK("http://dict.youdao.com/w/"&amp;B304,"有道")</f>
        <v/>
      </c>
    </row>
    <row customHeight="1" ht="57" r="305">
      <c r="B305" s="1" t="inlineStr">
        <is>
          <t>clumsy</t>
        </is>
      </c>
      <c r="C305" s="7">
        <f>"adj. 笨拙的"&amp;CHAR(10)&amp;"笨拙地"&amp;CHAR(10)&amp;"不得当的"&amp;CHAR(10)&amp;"不得当地"</f>
        <v/>
      </c>
      <c r="G305" s="18">
        <f>HYPERLINK("D:\python\英语学习\voices\"&amp;B305&amp;"_1.mp3","BrE")</f>
        <v/>
      </c>
      <c r="H305" s="18">
        <f>HYPERLINK("D:\python\英语学习\voices\"&amp;B305&amp;"_2.mp3","AmE")</f>
        <v/>
      </c>
      <c r="I305" s="18">
        <f>HYPERLINK("http://dict.youdao.com/w/"&amp;B305,"有道")</f>
        <v/>
      </c>
    </row>
    <row customHeight="1" ht="57" r="306">
      <c r="B306" s="1" t="inlineStr">
        <is>
          <t>cluster</t>
        </is>
      </c>
      <c r="C306" s="7">
        <f>"n. 群；簇；丛；串"&amp;CHAR(10)&amp;"vi. 群聚；丛生"&amp;CHAR(10)&amp;"vt. 使聚集；聚集在某人的周围"&amp;CHAR(10)&amp;"n. (Cluster)人名；(英)克拉斯特"</f>
        <v/>
      </c>
      <c r="G306" s="18">
        <f>HYPERLINK("D:\python\英语学习\voices\"&amp;B306&amp;"_1.mp3","BrE")</f>
        <v/>
      </c>
      <c r="H306" s="18">
        <f>HYPERLINK("D:\python\英语学习\voices\"&amp;B306&amp;"_2.mp3","AmE")</f>
        <v/>
      </c>
      <c r="I306" s="18">
        <f>HYPERLINK("http://dict.youdao.com/w/"&amp;B306,"有道")</f>
        <v/>
      </c>
    </row>
    <row customHeight="1" ht="57" r="307">
      <c r="B307" s="1" t="inlineStr">
        <is>
          <t>clutch</t>
        </is>
      </c>
      <c r="C307" s="7">
        <f>"n. 离合器；控制；手；紧急关头"&amp;CHAR(10)&amp;"vi. 攫；企图抓住"&amp;CHAR(10)&amp;"vt. 抓住；紧握"&amp;CHAR(10)&amp;"adj. 没有手提带或背带的；紧要关头的"</f>
        <v/>
      </c>
      <c r="G307" s="18">
        <f>HYPERLINK("D:\python\英语学习\voices\"&amp;B307&amp;"_1.mp3","BrE")</f>
        <v/>
      </c>
      <c r="H307" s="18">
        <f>HYPERLINK("D:\python\英语学习\voices\"&amp;B307&amp;"_2.mp3","AmE")</f>
        <v/>
      </c>
      <c r="I307" s="18">
        <f>HYPERLINK("http://dict.youdao.com/w/"&amp;B307,"有道")</f>
        <v/>
      </c>
    </row>
    <row customHeight="1" ht="42.75" r="308">
      <c r="B308" s="1" t="inlineStr">
        <is>
          <t>cobble</t>
        </is>
      </c>
      <c r="C308" s="7">
        <f>"vt. 修，拙劣地修补；铺鹅卵石，用圆石铺面"&amp;CHAR(10)&amp;"n. 鹅卵石，圆石"&amp;CHAR(10)&amp;"n. (Cobble)人名；(英)科布尔"</f>
        <v/>
      </c>
      <c r="G308" s="18">
        <f>HYPERLINK("D:\python\英语学习\voices\"&amp;B308&amp;"_1.mp3","BrE")</f>
        <v/>
      </c>
      <c r="H308" s="18">
        <f>HYPERLINK("D:\python\英语学习\voices\"&amp;B308&amp;"_2.mp3","AmE")</f>
        <v/>
      </c>
      <c r="I308" s="18">
        <f>HYPERLINK("http://dict.youdao.com/w/"&amp;B308,"有道")</f>
        <v/>
      </c>
    </row>
    <row customHeight="1" ht="28.5" r="309">
      <c r="B309" s="1" t="inlineStr">
        <is>
          <t>coffin</t>
        </is>
      </c>
      <c r="C309" s="7">
        <f>"n. 棺材"&amp;CHAR(10)&amp;"断送"</f>
        <v/>
      </c>
      <c r="G309" s="18">
        <f>HYPERLINK("D:\python\英语学习\voices\"&amp;B309&amp;"_1.mp3","BrE")</f>
        <v/>
      </c>
      <c r="H309" s="18">
        <f>HYPERLINK("D:\python\英语学习\voices\"&amp;B309&amp;"_2.mp3","AmE")</f>
        <v/>
      </c>
      <c r="I309" s="18">
        <f>HYPERLINK("http://dict.youdao.com/w/"&amp;B309,"有道")</f>
        <v/>
      </c>
    </row>
    <row r="310">
      <c r="B310" s="1" t="inlineStr">
        <is>
          <t>cognition</t>
        </is>
      </c>
      <c r="C310" s="7">
        <f>"n. 认识；知识；认识能力"</f>
        <v/>
      </c>
      <c r="G310" s="18">
        <f>HYPERLINK("D:\python\英语学习\voices\"&amp;B310&amp;"_1.mp3","BrE")</f>
        <v/>
      </c>
      <c r="H310" s="18">
        <f>HYPERLINK("D:\python\英语学习\voices\"&amp;B310&amp;"_2.mp3","AmE")</f>
        <v/>
      </c>
      <c r="I310" s="18">
        <f>HYPERLINK("http://dict.youdao.com/w/"&amp;B310,"有道")</f>
        <v/>
      </c>
    </row>
    <row r="311">
      <c r="B311" s="1" t="inlineStr">
        <is>
          <t>coherence</t>
        </is>
      </c>
      <c r="C311" s="7">
        <f>"n. 一致；连贯性；凝聚"</f>
        <v/>
      </c>
      <c r="G311" s="18">
        <f>HYPERLINK("D:\python\英语学习\voices\"&amp;B311&amp;"_1.mp3","BrE")</f>
        <v/>
      </c>
      <c r="H311" s="18">
        <f>HYPERLINK("D:\python\英语学习\voices\"&amp;B311&amp;"_2.mp3","AmE")</f>
        <v/>
      </c>
      <c r="I311" s="18">
        <f>HYPERLINK("http://dict.youdao.com/w/"&amp;B311,"有道")</f>
        <v/>
      </c>
    </row>
    <row customHeight="1" ht="28.5" r="312">
      <c r="A312" s="1" t="inlineStr">
        <is>
          <t>important</t>
        </is>
      </c>
      <c r="B312" s="1" t="inlineStr">
        <is>
          <t>fatality</t>
        </is>
      </c>
      <c r="C312" s="7">
        <f>"n. 死亡；宿命；致命性；不幸；灾祸"</f>
        <v/>
      </c>
      <c r="G312" s="18">
        <f>HYPERLINK("D:\python\英语学习\voices\"&amp;B312&amp;"_1.mp3","BrE")</f>
        <v/>
      </c>
      <c r="H312" s="18">
        <f>HYPERLINK("D:\python\英语学习\voices\"&amp;B312&amp;"_2.mp3","AmE")</f>
        <v/>
      </c>
      <c r="I312" s="18">
        <f>HYPERLINK("http://dict.youdao.com/w/"&amp;B312,"有道")</f>
        <v/>
      </c>
    </row>
    <row customHeight="1" ht="28.5" r="313">
      <c r="B313" s="1" t="inlineStr">
        <is>
          <t>cohesive</t>
        </is>
      </c>
      <c r="C313" s="7">
        <f>"adj. 凝聚的；有结合力的；紧密结合的；有粘着力的"</f>
        <v/>
      </c>
      <c r="G313" s="18">
        <f>HYPERLINK("D:\python\英语学习\voices\"&amp;B313&amp;"_1.mp3","BrE")</f>
        <v/>
      </c>
      <c r="H313" s="18">
        <f>HYPERLINK("D:\python\英语学习\voices\"&amp;B313&amp;"_2.mp3","AmE")</f>
        <v/>
      </c>
      <c r="I313" s="18">
        <f>HYPERLINK("http://dict.youdao.com/w/"&amp;B313,"有道")</f>
        <v/>
      </c>
    </row>
    <row customHeight="1" ht="28.5" r="314">
      <c r="B314" s="1" t="inlineStr">
        <is>
          <t>coincide</t>
        </is>
      </c>
      <c r="C314" s="7">
        <f>"vi. 一致，符合；同时发生"&amp;CHAR(10)&amp;"vi. (在性格、品质等方面)完全一致，相符"</f>
        <v/>
      </c>
      <c r="G314" s="18">
        <f>HYPERLINK("D:\python\英语学习\voices\"&amp;B314&amp;"_1.mp3","BrE")</f>
        <v/>
      </c>
      <c r="H314" s="18">
        <f>HYPERLINK("D:\python\英语学习\voices\"&amp;B314&amp;"_2.mp3","AmE")</f>
        <v/>
      </c>
      <c r="I314" s="18">
        <f>HYPERLINK("http://dict.youdao.com/w/"&amp;B314,"有道")</f>
        <v/>
      </c>
    </row>
    <row customHeight="1" ht="28.5" r="315">
      <c r="B315" s="1" t="inlineStr">
        <is>
          <t>collateral</t>
        </is>
      </c>
      <c r="C315" s="7">
        <f>"adj. 并行的；旁系的；附属的"&amp;CHAR(10)&amp;"n. 抵押品；[法] 担保品；旁系亲属"</f>
        <v/>
      </c>
      <c r="G315" s="18">
        <f>HYPERLINK("D:\python\英语学习\voices\"&amp;B315&amp;"_1.mp3","BrE")</f>
        <v/>
      </c>
      <c r="H315" s="18">
        <f>HYPERLINK("D:\python\英语学习\voices\"&amp;B315&amp;"_2.mp3","AmE")</f>
        <v/>
      </c>
      <c r="I315" s="18">
        <f>HYPERLINK("http://dict.youdao.com/w/"&amp;B315,"有道")</f>
        <v/>
      </c>
    </row>
    <row r="316">
      <c r="B316" s="1" t="inlineStr">
        <is>
          <t>colloquially</t>
        </is>
      </c>
      <c r="C316" s="7">
        <f>"adv. 口语地；用通俗语"</f>
        <v/>
      </c>
      <c r="G316" s="18">
        <f>HYPERLINK("D:\python\英语学习\voices\"&amp;B316&amp;"_1.mp3","BrE")</f>
        <v/>
      </c>
      <c r="H316" s="18">
        <f>HYPERLINK("D:\python\英语学习\voices\"&amp;B316&amp;"_2.mp3","AmE")</f>
        <v/>
      </c>
      <c r="I316" s="18">
        <f>HYPERLINK("http://dict.youdao.com/w/"&amp;B316,"有道")</f>
        <v/>
      </c>
    </row>
    <row customHeight="1" ht="28.5" r="317">
      <c r="B317" s="1" t="inlineStr">
        <is>
          <t>colonial</t>
        </is>
      </c>
      <c r="C317" s="7">
        <f>"n. 殖民地居民"&amp;CHAR(10)&amp;"adj. 殖民地的，殖民的"</f>
        <v/>
      </c>
      <c r="G317" s="18">
        <f>HYPERLINK("D:\python\英语学习\voices\"&amp;B317&amp;"_1.mp3","BrE")</f>
        <v/>
      </c>
      <c r="H317" s="18">
        <f>HYPERLINK("D:\python\英语学习\voices\"&amp;B317&amp;"_2.mp3","AmE")</f>
        <v/>
      </c>
      <c r="I317" s="18">
        <f>HYPERLINK("http://dict.youdao.com/w/"&amp;B317,"有道")</f>
        <v/>
      </c>
    </row>
    <row customHeight="1" ht="71.25" r="318">
      <c r="B318" s="1" t="inlineStr">
        <is>
          <t>combat</t>
        </is>
      </c>
      <c r="C318" s="7">
        <f>"vt. 反对；与…战斗"&amp;CHAR(10)&amp;"vi. 战斗；搏斗"&amp;CHAR(10)&amp;"n. 战斗；争论"&amp;CHAR(10)&amp;"adj. 战斗的；为…斗争的"&amp;CHAR(10)&amp;"n. (Combat)人名；(法)孔巴"</f>
        <v/>
      </c>
      <c r="G318" s="18">
        <f>HYPERLINK("D:\python\英语学习\voices\"&amp;B318&amp;"_1.mp3","BrE")</f>
        <v/>
      </c>
      <c r="H318" s="18">
        <f>HYPERLINK("D:\python\英语学习\voices\"&amp;B318&amp;"_2.mp3","AmE")</f>
        <v/>
      </c>
      <c r="I318" s="18">
        <f>HYPERLINK("http://dict.youdao.com/w/"&amp;B318,"有道")</f>
        <v/>
      </c>
    </row>
    <row r="319">
      <c r="B319" s="1" t="inlineStr">
        <is>
          <t>combustion</t>
        </is>
      </c>
      <c r="C319" s="7">
        <f>"n. 燃烧，氧化；骚动"</f>
        <v/>
      </c>
      <c r="G319" s="18">
        <f>HYPERLINK("D:\python\英语学习\voices\"&amp;B319&amp;"_1.mp3","BrE")</f>
        <v/>
      </c>
      <c r="H319" s="18">
        <f>HYPERLINK("D:\python\英语学习\voices\"&amp;B319&amp;"_2.mp3","AmE")</f>
        <v/>
      </c>
      <c r="I319" s="18">
        <f>HYPERLINK("http://dict.youdao.com/w/"&amp;B319,"有道")</f>
        <v/>
      </c>
    </row>
    <row r="320">
      <c r="B320" s="1" t="inlineStr">
        <is>
          <t>comma</t>
        </is>
      </c>
      <c r="C320" s="7">
        <f>"n. 逗号；停顿"</f>
        <v/>
      </c>
      <c r="G320" s="18">
        <f>HYPERLINK("D:\python\英语学习\voices\"&amp;B320&amp;"_1.mp3","BrE")</f>
        <v/>
      </c>
      <c r="H320" s="18">
        <f>HYPERLINK("D:\python\英语学习\voices\"&amp;B320&amp;"_2.mp3","AmE")</f>
        <v/>
      </c>
      <c r="I320" s="18">
        <f>HYPERLINK("http://dict.youdao.com/w/"&amp;B320,"有道")</f>
        <v/>
      </c>
    </row>
    <row r="321">
      <c r="B321" s="1" t="inlineStr">
        <is>
          <t>commemorate</t>
        </is>
      </c>
      <c r="C321" s="7">
        <f>"vt. 庆祝，纪念；成为…的纪念"</f>
        <v/>
      </c>
      <c r="E321" s="6" t="inlineStr">
        <is>
          <t>对过去事件怀着尊敬感情去纪念。</t>
        </is>
      </c>
      <c r="G321" s="18">
        <f>HYPERLINK("D:\python\英语学习\voices\"&amp;B321&amp;"_1.mp3","BrE")</f>
        <v/>
      </c>
      <c r="H321" s="18">
        <f>HYPERLINK("D:\python\英语学习\voices\"&amp;B321&amp;"_2.mp3","AmE")</f>
        <v/>
      </c>
      <c r="I321" s="18">
        <f>HYPERLINK("http://dict.youdao.com/w/"&amp;B321,"有道")</f>
        <v/>
      </c>
    </row>
    <row r="322">
      <c r="B322" s="1" t="inlineStr">
        <is>
          <t>commence</t>
        </is>
      </c>
      <c r="C322" s="7">
        <f>"v. 开始；着手；&lt;英&gt;获得学位"</f>
        <v/>
      </c>
      <c r="G322" s="18">
        <f>HYPERLINK("D:\python\英语学习\voices\"&amp;B322&amp;"_1.mp3","BrE")</f>
        <v/>
      </c>
      <c r="H322" s="18">
        <f>HYPERLINK("D:\python\英语学习\voices\"&amp;B322&amp;"_2.mp3","AmE")</f>
        <v/>
      </c>
      <c r="I322" s="18">
        <f>HYPERLINK("http://dict.youdao.com/w/"&amp;B322,"有道")</f>
        <v/>
      </c>
    </row>
    <row r="323">
      <c r="B323" s="1" t="inlineStr">
        <is>
          <t>commencement</t>
        </is>
      </c>
      <c r="C323" s="7">
        <f>"n. 开始，发端；毕业典礼"</f>
        <v/>
      </c>
      <c r="G323" s="18">
        <f>HYPERLINK("D:\python\英语学习\voices\"&amp;B323&amp;"_1.mp3","BrE")</f>
        <v/>
      </c>
      <c r="H323" s="18">
        <f>HYPERLINK("D:\python\英语学习\voices\"&amp;B323&amp;"_2.mp3","AmE")</f>
        <v/>
      </c>
      <c r="I323" s="18">
        <f>HYPERLINK("http://dict.youdao.com/w/"&amp;B323,"有道")</f>
        <v/>
      </c>
    </row>
    <row customHeight="1" ht="28.5" r="324">
      <c r="B324" s="1" t="inlineStr">
        <is>
          <t>commend</t>
        </is>
      </c>
      <c r="C324" s="7">
        <f>"vt. 推荐；称赞；把…委托"&amp;CHAR(10)&amp;"vi. 称赞；表扬"</f>
        <v/>
      </c>
      <c r="G324" s="18">
        <f>HYPERLINK("D:\python\英语学习\voices\"&amp;B324&amp;"_1.mp3","BrE")</f>
        <v/>
      </c>
      <c r="H324" s="18">
        <f>HYPERLINK("D:\python\英语学习\voices\"&amp;B324&amp;"_2.mp3","AmE")</f>
        <v/>
      </c>
      <c r="I324" s="18">
        <f>HYPERLINK("http://dict.youdao.com/w/"&amp;B324,"有道")</f>
        <v/>
      </c>
    </row>
    <row r="325">
      <c r="B325" s="1" t="inlineStr">
        <is>
          <t>commissioner</t>
        </is>
      </c>
      <c r="C325" s="7">
        <f>"n. 理事；委员；行政长官；总裁"</f>
        <v/>
      </c>
      <c r="G325" s="18">
        <f>HYPERLINK("D:\python\英语学习\voices\"&amp;B325&amp;"_1.mp3","BrE")</f>
        <v/>
      </c>
      <c r="H325" s="18">
        <f>HYPERLINK("D:\python\英语学习\voices\"&amp;B325&amp;"_2.mp3","AmE")</f>
        <v/>
      </c>
      <c r="I325" s="18">
        <f>HYPERLINK("http://dict.youdao.com/w/"&amp;B325,"有道")</f>
        <v/>
      </c>
    </row>
    <row r="326">
      <c r="B326" s="1" t="inlineStr">
        <is>
          <t>commodity</t>
        </is>
      </c>
      <c r="C326" s="7">
        <f>"n. 商品，货物；日用品"</f>
        <v/>
      </c>
      <c r="G326" s="18">
        <f>HYPERLINK("D:\python\英语学习\voices\"&amp;B326&amp;"_1.mp3","BrE")</f>
        <v/>
      </c>
      <c r="H326" s="18">
        <f>HYPERLINK("D:\python\英语学习\voices\"&amp;B326&amp;"_2.mp3","AmE")</f>
        <v/>
      </c>
      <c r="I326" s="18">
        <f>HYPERLINK("http://dict.youdao.com/w/"&amp;B326,"有道")</f>
        <v/>
      </c>
    </row>
    <row customHeight="1" ht="28.5" r="327">
      <c r="A327" t="inlineStr">
        <is>
          <t>important</t>
        </is>
      </c>
      <c r="B327" s="1" t="inlineStr">
        <is>
          <t>favorable</t>
        </is>
      </c>
      <c r="C327" s="7">
        <f>"adj. 有利的；良好的；赞成的，赞许的；讨人喜欢的"</f>
        <v/>
      </c>
      <c r="F327">
        <f>"In primitive times human beings did not travel for pleasure but to find a more favorable climate."</f>
        <v/>
      </c>
      <c r="G327" s="18">
        <f>HYPERLINK("D:\python\英语学习\voices\"&amp;B327&amp;"_1.mp3","BrE")</f>
        <v/>
      </c>
      <c r="H327" s="18">
        <f>HYPERLINK("D:\python\英语学习\voices\"&amp;B327&amp;"_2.mp3","AmE")</f>
        <v/>
      </c>
      <c r="I327" s="18">
        <f>HYPERLINK("http://dict.youdao.com/w/"&amp;B327,"有道")</f>
        <v/>
      </c>
    </row>
    <row r="328">
      <c r="A328" t="inlineStr">
        <is>
          <t>unnecessary</t>
        </is>
      </c>
      <c r="B328" s="1" t="inlineStr">
        <is>
          <t>commonwealth</t>
        </is>
      </c>
      <c r="C328" s="7">
        <f>"n. 联邦；共和国；国民整体"</f>
        <v/>
      </c>
      <c r="E328" t="inlineStr">
        <is>
          <t>意思太特殊一般就不用这个词了。英联邦（由英国和其他大多数曾经隶属于大英帝国的国家组成）</t>
        </is>
      </c>
      <c r="G328" s="18">
        <f>HYPERLINK("D:\python\英语学习\voices\"&amp;B328&amp;"_1.mp3","BrE")</f>
        <v/>
      </c>
      <c r="H328" s="18">
        <f>HYPERLINK("D:\python\英语学习\voices\"&amp;B328&amp;"_2.mp3","AmE")</f>
        <v/>
      </c>
      <c r="I328" s="18">
        <f>HYPERLINK("http://dict.youdao.com/w/"&amp;B328,"有道")</f>
        <v/>
      </c>
    </row>
    <row customHeight="1" ht="28.5" r="329">
      <c r="B329" s="1" t="inlineStr">
        <is>
          <t>communicative</t>
        </is>
      </c>
      <c r="C329" s="7">
        <f>"adj. 交际的；爱说话的，健谈的；无隐讳交谈的"</f>
        <v/>
      </c>
      <c r="G329" s="18">
        <f>HYPERLINK("D:\python\英语学习\voices\"&amp;B329&amp;"_1.mp3","BrE")</f>
        <v/>
      </c>
      <c r="H329" s="18">
        <f>HYPERLINK("D:\python\英语学习\voices\"&amp;B329&amp;"_2.mp3","AmE")</f>
        <v/>
      </c>
      <c r="I329" s="18">
        <f>HYPERLINK("http://dict.youdao.com/w/"&amp;B329,"有道")</f>
        <v/>
      </c>
    </row>
    <row customHeight="1" ht="42.75" r="330">
      <c r="B330" s="1" t="inlineStr">
        <is>
          <t>commute</t>
        </is>
      </c>
      <c r="C330" s="7">
        <f>"vi. （搭乘车、船等）通勤；代偿"&amp;CHAR(10)&amp;"vt. 减刑；交换；用……交换；使……变成"&amp;CHAR(10)&amp;"n. 通勤（口语）"</f>
        <v/>
      </c>
      <c r="G330" s="18">
        <f>HYPERLINK("D:\python\英语学习\voices\"&amp;B330&amp;"_1.mp3","BrE")</f>
        <v/>
      </c>
      <c r="H330" s="18">
        <f>HYPERLINK("D:\python\英语学习\voices\"&amp;B330&amp;"_2.mp3","AmE")</f>
        <v/>
      </c>
      <c r="I330" s="18">
        <f>HYPERLINK("http://dict.youdao.com/w/"&amp;B330,"有道")</f>
        <v/>
      </c>
    </row>
    <row customHeight="1" ht="42.75" r="331">
      <c r="B331" s="1" t="inlineStr">
        <is>
          <t>compact</t>
        </is>
      </c>
      <c r="C331" s="7">
        <f>"n. 合同，契约；小粉盒"&amp;CHAR(10)&amp;"adj. 紧凑的，紧密的；简洁的"&amp;CHAR(10)&amp;"vt. 使简洁；使紧密结合"</f>
        <v/>
      </c>
      <c r="G331" s="18">
        <f>HYPERLINK("D:\python\英语学习\voices\"&amp;B331&amp;"_1.mp3","BrE")</f>
        <v/>
      </c>
      <c r="H331" s="18">
        <f>HYPERLINK("D:\python\英语学习\voices\"&amp;B331&amp;"_2.mp3","AmE")</f>
        <v/>
      </c>
      <c r="I331" s="18">
        <f>HYPERLINK("http://dict.youdao.com/w/"&amp;B331,"有道")</f>
        <v/>
      </c>
    </row>
    <row r="332">
      <c r="B332" s="1" t="inlineStr">
        <is>
          <t>comparable</t>
        </is>
      </c>
      <c r="C332" s="7">
        <f>"adj. 可比较的；比得上的"</f>
        <v/>
      </c>
      <c r="G332" s="18">
        <f>HYPERLINK("D:\python\英语学习\voices\"&amp;B332&amp;"_1.mp3","BrE")</f>
        <v/>
      </c>
      <c r="H332" s="18">
        <f>HYPERLINK("D:\python\英语学习\voices\"&amp;B332&amp;"_2.mp3","AmE")</f>
        <v/>
      </c>
      <c r="I332" s="18">
        <f>HYPERLINK("http://dict.youdao.com/w/"&amp;B332,"有道")</f>
        <v/>
      </c>
    </row>
    <row customHeight="1" ht="28.5" r="333">
      <c r="B333" s="1" t="inlineStr">
        <is>
          <t>compartment</t>
        </is>
      </c>
      <c r="C333" s="7">
        <f>"n. [建] 隔间；区划；卧车上的小客房"&amp;CHAR(10)&amp;"vt. 分隔；划分"</f>
        <v/>
      </c>
      <c r="G333" s="18">
        <f>HYPERLINK("D:\python\英语学习\voices\"&amp;B333&amp;"_1.mp3","BrE")</f>
        <v/>
      </c>
      <c r="H333" s="18">
        <f>HYPERLINK("D:\python\英语学习\voices\"&amp;B333&amp;"_2.mp3","AmE")</f>
        <v/>
      </c>
      <c r="I333" s="18">
        <f>HYPERLINK("http://dict.youdao.com/w/"&amp;B333,"有道")</f>
        <v/>
      </c>
    </row>
    <row r="334">
      <c r="B334" s="1" t="inlineStr">
        <is>
          <t>compatible</t>
        </is>
      </c>
      <c r="C334" s="7">
        <f>"adj. 兼容的；能共处的；可并立的"</f>
        <v/>
      </c>
      <c r="G334" s="18">
        <f>HYPERLINK("D:\python\英语学习\voices\"&amp;B334&amp;"_1.mp3","BrE")</f>
        <v/>
      </c>
      <c r="H334" s="18">
        <f>HYPERLINK("D:\python\英语学习\voices\"&amp;B334&amp;"_2.mp3","AmE")</f>
        <v/>
      </c>
      <c r="I334" s="18">
        <f>HYPERLINK("http://dict.youdao.com/w/"&amp;B334,"有道")</f>
        <v/>
      </c>
    </row>
    <row customHeight="1" ht="28.5" r="335">
      <c r="B335" s="1" t="inlineStr">
        <is>
          <t>compensate</t>
        </is>
      </c>
      <c r="C335" s="7">
        <f>"vi. 补偿，赔偿；抵消"&amp;CHAR(10)&amp;"vt. 补偿，赔偿；付报酬"</f>
        <v/>
      </c>
      <c r="G335" s="18">
        <f>HYPERLINK("D:\python\英语学习\voices\"&amp;B335&amp;"_1.mp3","BrE")</f>
        <v/>
      </c>
      <c r="H335" s="18">
        <f>HYPERLINK("D:\python\英语学习\voices\"&amp;B335&amp;"_2.mp3","AmE")</f>
        <v/>
      </c>
      <c r="I335" s="18">
        <f>HYPERLINK("http://dict.youdao.com/w/"&amp;B335,"有道")</f>
        <v/>
      </c>
    </row>
    <row r="336">
      <c r="B336" s="1" t="inlineStr">
        <is>
          <t>competent</t>
        </is>
      </c>
      <c r="C336" s="7">
        <f>"adj. 胜任的；有能力的；能干的；足够的"</f>
        <v/>
      </c>
      <c r="G336" s="18">
        <f>HYPERLINK("D:\python\英语学习\voices\"&amp;B336&amp;"_1.mp3","BrE")</f>
        <v/>
      </c>
      <c r="H336" s="18">
        <f>HYPERLINK("D:\python\英语学习\voices\"&amp;B336&amp;"_2.mp3","AmE")</f>
        <v/>
      </c>
      <c r="I336" s="18">
        <f>HYPERLINK("http://dict.youdao.com/w/"&amp;B336,"有道")</f>
        <v/>
      </c>
    </row>
    <row r="337">
      <c r="B337" s="1" t="inlineStr">
        <is>
          <t>compilation</t>
        </is>
      </c>
      <c r="C337" s="7">
        <f>"n. 编译；编辑；汇编"</f>
        <v/>
      </c>
      <c r="G337" s="18">
        <f>HYPERLINK("D:\python\英语学习\voices\"&amp;B337&amp;"_1.mp3","BrE")</f>
        <v/>
      </c>
      <c r="H337" s="18">
        <f>HYPERLINK("D:\python\英语学习\voices\"&amp;B337&amp;"_2.mp3","AmE")</f>
        <v/>
      </c>
      <c r="I337" s="18">
        <f>HYPERLINK("http://dict.youdao.com/w/"&amp;B337,"有道")</f>
        <v/>
      </c>
    </row>
    <row r="338">
      <c r="B338" s="1" t="inlineStr">
        <is>
          <t>complaint</t>
        </is>
      </c>
      <c r="C338" s="7">
        <f>"n. 抱怨；诉苦；疾病；委屈"</f>
        <v/>
      </c>
      <c r="G338" s="18">
        <f>HYPERLINK("D:\python\英语学习\voices\"&amp;B338&amp;"_1.mp3","BrE")</f>
        <v/>
      </c>
      <c r="H338" s="18">
        <f>HYPERLINK("D:\python\英语学习\voices\"&amp;B338&amp;"_2.mp3","AmE")</f>
        <v/>
      </c>
      <c r="I338" s="18">
        <f>HYPERLINK("http://dict.youdao.com/w/"&amp;B338,"有道")</f>
        <v/>
      </c>
    </row>
    <row customHeight="1" ht="28.5" r="339">
      <c r="B339" s="1" t="inlineStr">
        <is>
          <t>complement</t>
        </is>
      </c>
      <c r="C339" s="7">
        <f>"n. 补语；余角；补足物"&amp;CHAR(10)&amp;"vt. 补足，补助"</f>
        <v/>
      </c>
      <c r="G339" s="18">
        <f>HYPERLINK("D:\python\英语学习\voices\"&amp;B339&amp;"_1.mp3","BrE")</f>
        <v/>
      </c>
      <c r="H339" s="18">
        <f>HYPERLINK("D:\python\英语学习\voices\"&amp;B339&amp;"_2.mp3","AmE")</f>
        <v/>
      </c>
      <c r="I339" s="18">
        <f>HYPERLINK("http://dict.youdao.com/w/"&amp;B339,"有道")</f>
        <v/>
      </c>
    </row>
    <row r="340">
      <c r="B340" s="1" t="inlineStr">
        <is>
          <t>complementary</t>
        </is>
      </c>
      <c r="C340" s="7">
        <f>"adj. 补足的，补充的"</f>
        <v/>
      </c>
      <c r="G340" s="18">
        <f>HYPERLINK("D:\python\英语学习\voices\"&amp;B340&amp;"_1.mp3","BrE")</f>
        <v/>
      </c>
      <c r="H340" s="18">
        <f>HYPERLINK("D:\python\英语学习\voices\"&amp;B340&amp;"_2.mp3","AmE")</f>
        <v/>
      </c>
      <c r="I340" s="18">
        <f>HYPERLINK("http://dict.youdao.com/w/"&amp;B340,"有道")</f>
        <v/>
      </c>
    </row>
    <row r="341">
      <c r="B341" s="1" t="inlineStr">
        <is>
          <t>complication</t>
        </is>
      </c>
      <c r="C341" s="7">
        <f>"n. 并发症；复杂；复杂化；混乱"</f>
        <v/>
      </c>
      <c r="G341" s="18">
        <f>HYPERLINK("D:\python\英语学习\voices\"&amp;B341&amp;"_1.mp3","BrE")</f>
        <v/>
      </c>
      <c r="H341" s="18">
        <f>HYPERLINK("D:\python\英语学习\voices\"&amp;B341&amp;"_2.mp3","AmE")</f>
        <v/>
      </c>
      <c r="I341" s="18">
        <f>HYPERLINK("http://dict.youdao.com/w/"&amp;B341,"有道")</f>
        <v/>
      </c>
    </row>
    <row r="342">
      <c r="B342" s="1" t="inlineStr">
        <is>
          <t>comply</t>
        </is>
      </c>
      <c r="C342" s="7">
        <f>"vi. 遵守；顺从，遵从；答应"</f>
        <v/>
      </c>
      <c r="G342" s="18">
        <f>HYPERLINK("D:\python\英语学习\voices\"&amp;B342&amp;"_1.mp3","BrE")</f>
        <v/>
      </c>
      <c r="H342" s="18">
        <f>HYPERLINK("D:\python\英语学习\voices\"&amp;B342&amp;"_2.mp3","AmE")</f>
        <v/>
      </c>
      <c r="I342" s="18">
        <f>HYPERLINK("http://dict.youdao.com/w/"&amp;B342,"有道")</f>
        <v/>
      </c>
    </row>
    <row customHeight="1" ht="28.5" r="343">
      <c r="B343" s="1" t="inlineStr">
        <is>
          <t>component</t>
        </is>
      </c>
      <c r="C343" s="7">
        <f>"adj. 组成的，构成的"&amp;CHAR(10)&amp;"n. 成分；组件；[电子] 元件"</f>
        <v/>
      </c>
      <c r="G343" s="18">
        <f>HYPERLINK("D:\python\英语学习\voices\"&amp;B343&amp;"_1.mp3","BrE")</f>
        <v/>
      </c>
      <c r="H343" s="18">
        <f>HYPERLINK("D:\python\英语学习\voices\"&amp;B343&amp;"_2.mp3","AmE")</f>
        <v/>
      </c>
      <c r="I343" s="18">
        <f>HYPERLINK("http://dict.youdao.com/w/"&amp;B343,"有道")</f>
        <v/>
      </c>
    </row>
    <row customHeight="1" ht="28.5" r="344">
      <c r="B344" s="1" t="inlineStr">
        <is>
          <t>composition</t>
        </is>
      </c>
      <c r="C344" s="7">
        <f>"n. 作文，作曲，作品；[材] 构成；合成物；成分"</f>
        <v/>
      </c>
      <c r="G344" s="18">
        <f>HYPERLINK("D:\python\英语学习\voices\"&amp;B344&amp;"_1.mp3","BrE")</f>
        <v/>
      </c>
      <c r="H344" s="18">
        <f>HYPERLINK("D:\python\英语学习\voices\"&amp;B344&amp;"_2.mp3","AmE")</f>
        <v/>
      </c>
      <c r="I344" s="18">
        <f>HYPERLINK("http://dict.youdao.com/w/"&amp;B344,"有道")</f>
        <v/>
      </c>
    </row>
    <row customHeight="1" ht="71.25" r="345">
      <c r="A345" s="1" t="inlineStr">
        <is>
          <t>important</t>
        </is>
      </c>
      <c r="B345" s="1" t="inlineStr">
        <is>
          <t>flush</t>
        </is>
      </c>
      <c r="C345" s="7">
        <f>"n. 激动，洋溢；面红；萌芽；旺盛；奔流"&amp;CHAR(10)&amp;"vt. 使齐平；发红，使发亮；用水冲洗；使激动"&amp;CHAR(10)&amp;"vi. 发红，脸红；奔涌；被冲洗"&amp;CHAR(10)&amp;"adj. 大量的；齐平的；丰足的，洋溢的；挥霍的"</f>
        <v/>
      </c>
      <c r="E345" s="6" t="inlineStr">
        <is>
          <t>好多意思</t>
        </is>
      </c>
      <c r="G345" s="18">
        <f>HYPERLINK("D:\python\英语学习\voices\"&amp;B345&amp;"_1.mp3","BrE")</f>
        <v/>
      </c>
      <c r="H345" s="18">
        <f>HYPERLINK("D:\python\英语学习\voices\"&amp;B345&amp;"_2.mp3","AmE")</f>
        <v/>
      </c>
      <c r="I345" s="18">
        <f>HYPERLINK("http://dict.youdao.com/w/"&amp;B345,"有道")</f>
        <v/>
      </c>
    </row>
    <row r="346">
      <c r="B346" s="1" t="inlineStr">
        <is>
          <t>computational</t>
        </is>
      </c>
      <c r="C346" s="7">
        <f>"adj. 计算的"</f>
        <v/>
      </c>
      <c r="G346" s="18">
        <f>HYPERLINK("D:\python\英语学习\voices\"&amp;B346&amp;"_1.mp3","BrE")</f>
        <v/>
      </c>
      <c r="H346" s="18">
        <f>HYPERLINK("D:\python\英语学习\voices\"&amp;B346&amp;"_2.mp3","AmE")</f>
        <v/>
      </c>
      <c r="I346" s="18">
        <f>HYPERLINK("http://dict.youdao.com/w/"&amp;B346,"有道")</f>
        <v/>
      </c>
    </row>
    <row customHeight="1" ht="28.5" r="347">
      <c r="B347" s="1" t="inlineStr">
        <is>
          <t>comrade</t>
        </is>
      </c>
      <c r="C347" s="7">
        <f>"n. 同志；伙伴"&amp;CHAR(10)&amp;"n. (Comrade)人名；(尼日利)科姆拉德"</f>
        <v/>
      </c>
      <c r="G347" s="18">
        <f>HYPERLINK("D:\python\英语学习\voices\"&amp;B347&amp;"_1.mp3","BrE")</f>
        <v/>
      </c>
      <c r="H347" s="18">
        <f>HYPERLINK("D:\python\英语学习\voices\"&amp;B347&amp;"_2.mp3","AmE")</f>
        <v/>
      </c>
      <c r="I347" s="18">
        <f>HYPERLINK("http://dict.youdao.com/w/"&amp;B347,"有道")</f>
        <v/>
      </c>
    </row>
    <row customHeight="1" ht="99.75" r="348">
      <c r="B348" s="1" t="inlineStr">
        <is>
          <t>con</t>
        </is>
      </c>
      <c r="C348" s="7">
        <f>"n. 反对票；反对论"&amp;CHAR(10)&amp;"vt. 精读；默记"&amp;CHAR(10)&amp;"adv. 反面地"&amp;CHAR(10)&amp;"adj. 欺诈的"&amp;CHAR(10)&amp;"prep. 以…"&amp;CHAR(10)&amp;"n. (Con)人名；(捷)措恩；(英)康 (教名Constance的昵称)"</f>
        <v/>
      </c>
      <c r="G348" s="18">
        <f>HYPERLINK("D:\python\英语学习\voices\"&amp;B348&amp;"_1.mp3","BrE")</f>
        <v/>
      </c>
      <c r="H348" s="18">
        <f>HYPERLINK("D:\python\英语学习\voices\"&amp;B348&amp;"_2.mp3","AmE")</f>
        <v/>
      </c>
      <c r="I348" s="18">
        <f>HYPERLINK("http://dict.youdao.com/w/"&amp;B348,"有道")</f>
        <v/>
      </c>
    </row>
    <row r="349">
      <c r="B349" s="1" t="inlineStr">
        <is>
          <t>conceal</t>
        </is>
      </c>
      <c r="C349" s="7">
        <f>"vt. 隐藏；隐瞒"</f>
        <v/>
      </c>
      <c r="E349" s="6" t="inlineStr">
        <is>
          <t>注意拼写</t>
        </is>
      </c>
      <c r="G349" s="18">
        <f>HYPERLINK("D:\python\英语学习\voices\"&amp;B349&amp;"_1.mp3","BrE")</f>
        <v/>
      </c>
      <c r="H349" s="18">
        <f>HYPERLINK("D:\python\英语学习\voices\"&amp;B349&amp;"_2.mp3","AmE")</f>
        <v/>
      </c>
      <c r="I349" s="18">
        <f>HYPERLINK("http://dict.youdao.com/w/"&amp;B349,"有道")</f>
        <v/>
      </c>
    </row>
    <row r="350">
      <c r="B350" s="1" t="inlineStr">
        <is>
          <t>conceited</t>
        </is>
      </c>
      <c r="C350" s="7">
        <f>"adj. 自负的；狂想的；逞能的"</f>
        <v/>
      </c>
      <c r="D350" s="6" t="inlineStr">
        <is>
          <t>conceit 自负</t>
        </is>
      </c>
      <c r="G350" s="18">
        <f>HYPERLINK("D:\python\英语学习\voices\"&amp;B350&amp;"_1.mp3","BrE")</f>
        <v/>
      </c>
      <c r="H350" s="18">
        <f>HYPERLINK("D:\python\英语学习\voices\"&amp;B350&amp;"_2.mp3","AmE")</f>
        <v/>
      </c>
      <c r="I350" s="18">
        <f>HYPERLINK("http://dict.youdao.com/w/"&amp;B350,"有道")</f>
        <v/>
      </c>
    </row>
    <row customHeight="1" ht="28.5" r="351">
      <c r="B351" s="1" t="inlineStr">
        <is>
          <t>conceive</t>
        </is>
      </c>
      <c r="C351" s="7">
        <f>"vt. 怀孕；构思；以为；持有"&amp;CHAR(10)&amp;"vi. 怀孕；设想；考虑"</f>
        <v/>
      </c>
      <c r="G351" s="18">
        <f>HYPERLINK("D:\python\英语学习\voices\"&amp;B351&amp;"_1.mp3","BrE")</f>
        <v/>
      </c>
      <c r="H351" s="18">
        <f>HYPERLINK("D:\python\英语学习\voices\"&amp;B351&amp;"_2.mp3","AmE")</f>
        <v/>
      </c>
      <c r="I351" s="18">
        <f>HYPERLINK("http://dict.youdao.com/w/"&amp;B351,"有道")</f>
        <v/>
      </c>
    </row>
    <row r="352">
      <c r="B352" s="1" t="inlineStr">
        <is>
          <t>concept</t>
        </is>
      </c>
      <c r="C352" s="7">
        <f>"n. 观念，概念"</f>
        <v/>
      </c>
      <c r="G352" s="18">
        <f>HYPERLINK("D:\python\英语学习\voices\"&amp;B352&amp;"_1.mp3","BrE")</f>
        <v/>
      </c>
      <c r="H352" s="18">
        <f>HYPERLINK("D:\python\英语学习\voices\"&amp;B352&amp;"_2.mp3","AmE")</f>
        <v/>
      </c>
      <c r="I352" s="18">
        <f>HYPERLINK("http://dict.youdao.com/w/"&amp;B352,"有道")</f>
        <v/>
      </c>
    </row>
    <row r="353">
      <c r="B353" s="1" t="inlineStr">
        <is>
          <t>conception</t>
        </is>
      </c>
      <c r="C353" s="7">
        <f>"n. 怀孕；概念；设想；开始"</f>
        <v/>
      </c>
      <c r="G353" s="18">
        <f>HYPERLINK("D:\python\英语学习\voices\"&amp;B353&amp;"_1.mp3","BrE")</f>
        <v/>
      </c>
      <c r="H353" s="18">
        <f>HYPERLINK("D:\python\英语学习\voices\"&amp;B353&amp;"_2.mp3","AmE")</f>
        <v/>
      </c>
      <c r="I353" s="18">
        <f>HYPERLINK("http://dict.youdao.com/w/"&amp;B353,"有道")</f>
        <v/>
      </c>
    </row>
    <row r="354">
      <c r="B354" s="1" t="inlineStr">
        <is>
          <t>conceptual</t>
        </is>
      </c>
      <c r="C354" s="7">
        <f>"adj. 概念上的"</f>
        <v/>
      </c>
      <c r="G354" s="18">
        <f>HYPERLINK("D:\python\英语学习\voices\"&amp;B354&amp;"_1.mp3","BrE")</f>
        <v/>
      </c>
      <c r="H354" s="18">
        <f>HYPERLINK("D:\python\英语学习\voices\"&amp;B354&amp;"_2.mp3","AmE")</f>
        <v/>
      </c>
      <c r="I354" s="18">
        <f>HYPERLINK("http://dict.youdao.com/w/"&amp;B354,"有道")</f>
        <v/>
      </c>
    </row>
    <row r="355">
      <c r="B355" s="1" t="inlineStr">
        <is>
          <t>concession</t>
        </is>
      </c>
      <c r="C355" s="7">
        <f>"n. 让步；特许（权）；承认；退位"</f>
        <v/>
      </c>
      <c r="G355" s="18">
        <f>HYPERLINK("D:\python\英语学习\voices\"&amp;B355&amp;"_1.mp3","BrE")</f>
        <v/>
      </c>
      <c r="H355" s="18">
        <f>HYPERLINK("D:\python\英语学习\voices\"&amp;B355&amp;"_2.mp3","AmE")</f>
        <v/>
      </c>
      <c r="I355" s="18">
        <f>HYPERLINK("http://dict.youdao.com/w/"&amp;B355,"有道")</f>
        <v/>
      </c>
    </row>
    <row r="356">
      <c r="B356" s="1" t="inlineStr">
        <is>
          <t>concise</t>
        </is>
      </c>
      <c r="C356" s="7">
        <f>"adj. 简明的，简洁的"</f>
        <v/>
      </c>
      <c r="G356" s="18">
        <f>HYPERLINK("D:\python\英语学习\voices\"&amp;B356&amp;"_1.mp3","BrE")</f>
        <v/>
      </c>
      <c r="H356" s="18">
        <f>HYPERLINK("D:\python\英语学习\voices\"&amp;B356&amp;"_2.mp3","AmE")</f>
        <v/>
      </c>
      <c r="I356" s="18">
        <f>HYPERLINK("http://dict.youdao.com/w/"&amp;B356,"有道")</f>
        <v/>
      </c>
    </row>
    <row r="357">
      <c r="A357" s="1" t="inlineStr">
        <is>
          <t>important</t>
        </is>
      </c>
      <c r="B357" s="1" t="inlineStr">
        <is>
          <t>forsake</t>
        </is>
      </c>
      <c r="C357" s="7">
        <f>"vt. 放弃；断念"</f>
        <v/>
      </c>
      <c r="E357" t="inlineStr">
        <is>
          <t>'=give up 用得好很好</t>
        </is>
      </c>
      <c r="G357" s="18">
        <f>HYPERLINK("D:\python\英语学习\voices\"&amp;B357&amp;"_1.mp3","BrE")</f>
        <v/>
      </c>
      <c r="H357" s="18">
        <f>HYPERLINK("D:\python\英语学习\voices\"&amp;B357&amp;"_2.mp3","AmE")</f>
        <v/>
      </c>
      <c r="I357" s="18">
        <f>HYPERLINK("http://dict.youdao.com/w/"&amp;B357,"有道")</f>
        <v/>
      </c>
    </row>
    <row customHeight="1" ht="28.5" r="358">
      <c r="B358" s="1" t="inlineStr">
        <is>
          <t>condense</t>
        </is>
      </c>
      <c r="C358" s="7">
        <f>"vi. 浓缩；凝结"&amp;CHAR(10)&amp;"vt. 使浓缩；使压缩"</f>
        <v/>
      </c>
      <c r="G358" s="18">
        <f>HYPERLINK("D:\python\英语学习\voices\"&amp;B358&amp;"_1.mp3","BrE")</f>
        <v/>
      </c>
      <c r="H358" s="18">
        <f>HYPERLINK("D:\python\英语学习\voices\"&amp;B358&amp;"_2.mp3","AmE")</f>
        <v/>
      </c>
      <c r="I358" s="18">
        <f>HYPERLINK("http://dict.youdao.com/w/"&amp;B358,"有道")</f>
        <v/>
      </c>
    </row>
    <row customHeight="1" ht="28.5" r="359">
      <c r="B359" s="1" t="inlineStr">
        <is>
          <t>conditional</t>
        </is>
      </c>
      <c r="C359" s="7">
        <f>"adj. 有条件的；假定的"&amp;CHAR(10)&amp;"n. 条件句；条件语"</f>
        <v/>
      </c>
      <c r="G359" s="18">
        <f>HYPERLINK("D:\python\英语学习\voices\"&amp;B359&amp;"_1.mp3","BrE")</f>
        <v/>
      </c>
      <c r="H359" s="18">
        <f>HYPERLINK("D:\python\英语学习\voices\"&amp;B359&amp;"_2.mp3","AmE")</f>
        <v/>
      </c>
      <c r="I359" s="18">
        <f>HYPERLINK("http://dict.youdao.com/w/"&amp;B359,"有道")</f>
        <v/>
      </c>
    </row>
    <row customHeight="1" ht="42.75" r="360">
      <c r="B360" s="1" t="inlineStr">
        <is>
          <t>cone</t>
        </is>
      </c>
      <c r="C360" s="7">
        <f>"n. 圆锥体，圆锥形；[植] 球果"&amp;CHAR(10)&amp;"vt. 使成锥形"&amp;CHAR(10)&amp;"n. (Cone)人名；(英)科恩；(罗)科内；(塞)措内"</f>
        <v/>
      </c>
      <c r="G360" s="18">
        <f>HYPERLINK("D:\python\英语学习\voices\"&amp;B360&amp;"_1.mp3","BrE")</f>
        <v/>
      </c>
      <c r="H360" s="18">
        <f>HYPERLINK("D:\python\英语学习\voices\"&amp;B360&amp;"_2.mp3","AmE")</f>
        <v/>
      </c>
      <c r="I360" s="18">
        <f>HYPERLINK("http://dict.youdao.com/w/"&amp;B360,"有道")</f>
        <v/>
      </c>
    </row>
    <row r="361">
      <c r="B361" s="1" t="inlineStr">
        <is>
          <t>confidential</t>
        </is>
      </c>
      <c r="C361" s="7">
        <f>"adj. 机密的；表示信任的；获信任的"</f>
        <v/>
      </c>
      <c r="G361" s="18">
        <f>HYPERLINK("D:\python\英语学习\voices\"&amp;B361&amp;"_1.mp3","BrE")</f>
        <v/>
      </c>
      <c r="H361" s="18">
        <f>HYPERLINK("D:\python\英语学习\voices\"&amp;B361&amp;"_2.mp3","AmE")</f>
        <v/>
      </c>
      <c r="I361" s="18">
        <f>HYPERLINK("http://dict.youdao.com/w/"&amp;B361,"有道")</f>
        <v/>
      </c>
    </row>
    <row customHeight="1" ht="42.75" r="362">
      <c r="A362" s="1" t="inlineStr">
        <is>
          <t>important</t>
        </is>
      </c>
      <c r="B362" s="1" t="inlineStr">
        <is>
          <t>frustrate</t>
        </is>
      </c>
      <c r="C362" s="7">
        <f>"vt. 挫败；阻挠；使感到灰心"&amp;CHAR(10)&amp;"vi. 失败；受挫"&amp;CHAR(10)&amp;"adj. 挫败的；无益的"</f>
        <v/>
      </c>
      <c r="E362" s="6" t="inlineStr">
        <is>
          <t>what frustrates me most is that…</t>
        </is>
      </c>
      <c r="G362" s="18">
        <f>HYPERLINK("D:\python\英语学习\voices\"&amp;B362&amp;"_1.mp3","BrE")</f>
        <v/>
      </c>
      <c r="H362" s="18">
        <f>HYPERLINK("D:\python\英语学习\voices\"&amp;B362&amp;"_2.mp3","AmE")</f>
        <v/>
      </c>
      <c r="I362" s="18">
        <f>HYPERLINK("http://dict.youdao.com/w/"&amp;B362,"有道")</f>
        <v/>
      </c>
    </row>
    <row r="363">
      <c r="A363" s="1" t="inlineStr">
        <is>
          <t>important</t>
        </is>
      </c>
      <c r="B363" s="1" t="inlineStr">
        <is>
          <t>impede</t>
        </is>
      </c>
      <c r="C363" s="7">
        <f>"vt. 阻碍；妨碍；阻止"</f>
        <v/>
      </c>
      <c r="G363" s="18">
        <f>HYPERLINK("D:\python\英语学习\voices\"&amp;B363&amp;"_1.mp3","BrE")</f>
        <v/>
      </c>
      <c r="H363" s="18">
        <f>HYPERLINK("D:\python\英语学习\voices\"&amp;B363&amp;"_2.mp3","AmE")</f>
        <v/>
      </c>
      <c r="I363" s="18">
        <f>HYPERLINK("http://dict.youdao.com/w/"&amp;B363,"有道")</f>
        <v/>
      </c>
    </row>
    <row customHeight="1" ht="28.5" r="364">
      <c r="A364" s="1" t="inlineStr">
        <is>
          <t>important</t>
        </is>
      </c>
      <c r="B364" s="1" t="inlineStr">
        <is>
          <t>indispensable</t>
        </is>
      </c>
      <c r="C364" s="7">
        <f>"adj. 不可缺少的；绝对必要的；责无旁贷的"&amp;CHAR(10)&amp;"n. 不可缺少之物；必不可少的人"</f>
        <v/>
      </c>
      <c r="E364" s="6" t="inlineStr">
        <is>
          <t>play an indispensable role in
dispensable-可有可无的
dispense-分发、提供(服务)</t>
        </is>
      </c>
      <c r="G364" s="18">
        <f>HYPERLINK("D:\python\英语学习\voices\"&amp;B364&amp;"_1.mp3","BrE")</f>
        <v/>
      </c>
      <c r="H364" s="18">
        <f>HYPERLINK("D:\python\英语学习\voices\"&amp;B364&amp;"_2.mp3","AmE")</f>
        <v/>
      </c>
      <c r="I364" s="18">
        <f>HYPERLINK("http://dict.youdao.com/w/"&amp;B364,"有道")</f>
        <v/>
      </c>
    </row>
    <row r="365">
      <c r="B365" s="1" t="inlineStr">
        <is>
          <t>congestion</t>
        </is>
      </c>
      <c r="C365" s="7">
        <f>"n. 拥挤；拥塞；淤血"</f>
        <v/>
      </c>
      <c r="G365" s="18">
        <f>HYPERLINK("D:\python\英语学习\voices\"&amp;B365&amp;"_1.mp3","BrE")</f>
        <v/>
      </c>
      <c r="H365" s="18">
        <f>HYPERLINK("D:\python\英语学习\voices\"&amp;B365&amp;"_2.mp3","AmE")</f>
        <v/>
      </c>
      <c r="I365" s="18">
        <f>HYPERLINK("http://dict.youdao.com/w/"&amp;B365,"有道")</f>
        <v/>
      </c>
    </row>
    <row customHeight="1" ht="57" r="366">
      <c r="A366" s="1" t="inlineStr">
        <is>
          <t>unnecessary</t>
        </is>
      </c>
      <c r="B366" s="1" t="inlineStr">
        <is>
          <t>conglomerate</t>
        </is>
      </c>
      <c r="C366" s="7">
        <f>"vi. 凝聚成团"&amp;CHAR(10)&amp;"n. [岩] 砾岩；企业集团；聚合物"&amp;CHAR(10)&amp;"adj. 成团的；砾岩性的"&amp;CHAR(10)&amp;"vt. 使聚结；凝聚成团"</f>
        <v/>
      </c>
      <c r="G366" s="18">
        <f>HYPERLINK("D:\python\英语学习\voices\"&amp;B366&amp;"_1.mp3","BrE")</f>
        <v/>
      </c>
      <c r="H366" s="18">
        <f>HYPERLINK("D:\python\英语学习\voices\"&amp;B366&amp;"_2.mp3","AmE")</f>
        <v/>
      </c>
      <c r="I366" s="18">
        <f>HYPERLINK("http://dict.youdao.com/w/"&amp;B366,"有道")</f>
        <v/>
      </c>
    </row>
    <row customHeight="1" ht="42.75" r="367">
      <c r="A367" s="1" t="inlineStr">
        <is>
          <t>important</t>
        </is>
      </c>
      <c r="B367" s="1" t="inlineStr">
        <is>
          <t>inferior</t>
        </is>
      </c>
      <c r="C367" s="7">
        <f>"adj. 差的；自卑的；下级的，下等的"&amp;CHAR(10)&amp;"n. 下级；次品"</f>
        <v/>
      </c>
      <c r="E367" s="6" t="inlineStr">
        <is>
          <t>inferior to 次于...
替换worse</t>
        </is>
      </c>
      <c r="G367" s="18">
        <f>HYPERLINK("D:\python\英语学习\voices\"&amp;B367&amp;"_1.mp3","BrE")</f>
        <v/>
      </c>
      <c r="H367" s="18">
        <f>HYPERLINK("D:\python\英语学习\voices\"&amp;B367&amp;"_2.mp3","AmE")</f>
        <v/>
      </c>
      <c r="I367" s="18">
        <f>HYPERLINK("http://dict.youdao.com/w/"&amp;B367,"有道")</f>
        <v/>
      </c>
    </row>
    <row customHeight="1" ht="28.5" r="368">
      <c r="B368" s="1" t="inlineStr">
        <is>
          <t>conjure</t>
        </is>
      </c>
      <c r="C368" s="7">
        <f>"vt. 念咒召唤；用魔法驱赶；提出，想象；恳求"&amp;CHAR(10)&amp;"vi. 施魔法；变魔术"</f>
        <v/>
      </c>
      <c r="F368" s="7">
        <f>"If you conjure something out of nothing, you make it appear as if by magic. 使如变魔术般凭空出现"</f>
        <v/>
      </c>
      <c r="G368" s="18">
        <f>HYPERLINK("D:\python\英语学习\voices\"&amp;B368&amp;"_1.mp3","BrE")</f>
        <v/>
      </c>
      <c r="H368" s="18">
        <f>HYPERLINK("D:\python\英语学习\voices\"&amp;B368&amp;"_2.mp3","AmE")</f>
        <v/>
      </c>
      <c r="I368" s="18">
        <f>HYPERLINK("http://dict.youdao.com/w/"&amp;B368,"有道")</f>
        <v/>
      </c>
    </row>
    <row customHeight="1" ht="28.5" r="369">
      <c r="B369" s="1" t="inlineStr">
        <is>
          <t>connotation</t>
        </is>
      </c>
      <c r="C369" s="7">
        <f>"n. 内涵；含蓄；暗示，隐含意义；储蓄的东西（词、语等）"</f>
        <v/>
      </c>
      <c r="G369" s="18">
        <f>HYPERLINK("D:\python\英语学习\voices\"&amp;B369&amp;"_1.mp3","BrE")</f>
        <v/>
      </c>
      <c r="H369" s="18">
        <f>HYPERLINK("D:\python\英语学习\voices\"&amp;B369&amp;"_2.mp3","AmE")</f>
        <v/>
      </c>
      <c r="I369" s="18">
        <f>HYPERLINK("http://dict.youdao.com/w/"&amp;B369,"有道")</f>
        <v/>
      </c>
    </row>
    <row customHeight="1" ht="28.5" r="370">
      <c r="B370" s="1" t="inlineStr">
        <is>
          <t>conscience</t>
        </is>
      </c>
      <c r="C370" s="7">
        <f>"n. 道德心，良心"&amp;CHAR(10)&amp;"n. (Conscience)人名；(法)孔西延斯"</f>
        <v/>
      </c>
      <c r="G370" s="18">
        <f>HYPERLINK("D:\python\英语学习\voices\"&amp;B370&amp;"_1.mp3","BrE")</f>
        <v/>
      </c>
      <c r="H370" s="18">
        <f>HYPERLINK("D:\python\英语学习\voices\"&amp;B370&amp;"_2.mp3","AmE")</f>
        <v/>
      </c>
      <c r="I370" s="18">
        <f>HYPERLINK("http://dict.youdao.com/w/"&amp;B370,"有道")</f>
        <v/>
      </c>
    </row>
    <row customHeight="1" ht="28.5" r="371">
      <c r="B371" s="1" t="inlineStr">
        <is>
          <t>conscientious</t>
        </is>
      </c>
      <c r="C371" s="7">
        <f>"adj. 认真的；尽责的；本着良心的；小心谨慎的"</f>
        <v/>
      </c>
      <c r="E371" s="16" t="inlineStr">
        <is>
          <t>注意发音-重音在en</t>
        </is>
      </c>
      <c r="G371" s="18">
        <f>HYPERLINK("D:\python\英语学习\voices\"&amp;B371&amp;"_1.mp3","BrE")</f>
        <v/>
      </c>
      <c r="H371" s="18">
        <f>HYPERLINK("D:\python\英语学习\voices\"&amp;B371&amp;"_2.mp3","AmE")</f>
        <v/>
      </c>
      <c r="I371" s="18">
        <f>HYPERLINK("http://dict.youdao.com/w/"&amp;B371,"有道")</f>
        <v/>
      </c>
    </row>
    <row customHeight="1" ht="42.75" r="372">
      <c r="A372" s="1" t="inlineStr">
        <is>
          <t>important</t>
        </is>
      </c>
      <c r="B372" s="1" t="inlineStr">
        <is>
          <t>inflation</t>
        </is>
      </c>
      <c r="C372" s="7">
        <f>"n. 膨胀；通货膨胀；夸张；自命不凡"</f>
        <v/>
      </c>
      <c r="G372" s="18">
        <f>HYPERLINK("D:\python\英语学习\voices\"&amp;B372&amp;"_1.mp3","BrE")</f>
        <v/>
      </c>
      <c r="H372" s="18">
        <f>HYPERLINK("D:\python\英语学习\voices\"&amp;B372&amp;"_2.mp3","AmE")</f>
        <v/>
      </c>
      <c r="I372" s="18">
        <f>HYPERLINK("http://dict.youdao.com/w/"&amp;B372,"有道")</f>
        <v/>
      </c>
    </row>
    <row customHeight="1" ht="28.5" r="373">
      <c r="B373" s="1" t="inlineStr">
        <is>
          <t>consequent</t>
        </is>
      </c>
      <c r="C373" s="7">
        <f>"n. 结果"&amp;CHAR(10)&amp;"adj. 随之发生的；作为结果的"</f>
        <v/>
      </c>
      <c r="G373" s="18">
        <f>HYPERLINK("D:\python\英语学习\voices\"&amp;B373&amp;"_1.mp3","BrE")</f>
        <v/>
      </c>
      <c r="H373" s="18">
        <f>HYPERLINK("D:\python\英语学习\voices\"&amp;B373&amp;"_2.mp3","AmE")</f>
        <v/>
      </c>
      <c r="I373" s="18">
        <f>HYPERLINK("http://dict.youdao.com/w/"&amp;B373,"有道")</f>
        <v/>
      </c>
    </row>
    <row r="374">
      <c r="B374" s="1" t="inlineStr">
        <is>
          <t>consequently</t>
        </is>
      </c>
      <c r="C374" s="7">
        <f>"adv. 因此；结果；所以"</f>
        <v/>
      </c>
      <c r="G374" s="18">
        <f>HYPERLINK("D:\python\英语学习\voices\"&amp;B374&amp;"_1.mp3","BrE")</f>
        <v/>
      </c>
      <c r="H374" s="18">
        <f>HYPERLINK("D:\python\英语学习\voices\"&amp;B374&amp;"_2.mp3","AmE")</f>
        <v/>
      </c>
      <c r="I374" s="18">
        <f>HYPERLINK("http://dict.youdao.com/w/"&amp;B374,"有道")</f>
        <v/>
      </c>
    </row>
    <row r="375">
      <c r="B375" s="1" t="inlineStr">
        <is>
          <t>conservatism</t>
        </is>
      </c>
      <c r="C375" s="7">
        <f>"n. 保守主义；守旧性"</f>
        <v/>
      </c>
      <c r="G375" s="18">
        <f>HYPERLINK("D:\python\英语学习\voices\"&amp;B375&amp;"_1.mp3","BrE")</f>
        <v/>
      </c>
      <c r="H375" s="18">
        <f>HYPERLINK("D:\python\英语学习\voices\"&amp;B375&amp;"_2.mp3","AmE")</f>
        <v/>
      </c>
      <c r="I375" s="18">
        <f>HYPERLINK("http://dict.youdao.com/w/"&amp;B375,"有道")</f>
        <v/>
      </c>
    </row>
    <row customHeight="1" ht="28.5" r="376">
      <c r="A376" t="inlineStr">
        <is>
          <t>important</t>
        </is>
      </c>
      <c r="B376" s="1" t="inlineStr">
        <is>
          <t>ingenious</t>
        </is>
      </c>
      <c r="C376" s="7">
        <f>"adj. 有独创性的；机灵的，精制的；心灵手巧的"</f>
        <v/>
      </c>
      <c r="G376" s="18">
        <f>HYPERLINK("D:\python\英语学习\voices\"&amp;B376&amp;"_1.mp3","BrE")</f>
        <v/>
      </c>
      <c r="H376" s="18">
        <f>HYPERLINK("D:\python\英语学习\voices\"&amp;B376&amp;"_2.mp3","AmE")</f>
        <v/>
      </c>
      <c r="I376" s="18">
        <f>HYPERLINK("http://dict.youdao.com/w/"&amp;B376,"有道")</f>
        <v/>
      </c>
    </row>
    <row customHeight="1" ht="42.75" r="377">
      <c r="A377" s="1" t="inlineStr">
        <is>
          <t>important</t>
        </is>
      </c>
      <c r="B377" s="1" t="inlineStr">
        <is>
          <t>integral</t>
        </is>
      </c>
      <c r="C377" s="7">
        <f>"adj. 积分的；完整的，整体的；构成整体所必须的"&amp;CHAR(10)&amp;"n. 积分；部分；完整"</f>
        <v/>
      </c>
      <c r="E377" s="6" t="inlineStr">
        <is>
          <t>构成整体所必须的</t>
        </is>
      </c>
      <c r="G377" s="18">
        <f>HYPERLINK("D:\python\英语学习\voices\"&amp;B377&amp;"_1.mp3","BrE")</f>
        <v/>
      </c>
      <c r="H377" s="18">
        <f>HYPERLINK("D:\python\英语学习\voices\"&amp;B377&amp;"_2.mp3","AmE")</f>
        <v/>
      </c>
      <c r="I377" s="18">
        <f>HYPERLINK("http://dict.youdao.com/w/"&amp;B377,"有道")</f>
        <v/>
      </c>
    </row>
    <row r="378">
      <c r="B378" s="1" t="inlineStr">
        <is>
          <t>consistent</t>
        </is>
      </c>
      <c r="C378" s="7">
        <f>"adj. 始终如一的，一致的；坚持的"</f>
        <v/>
      </c>
      <c r="G378" s="18">
        <f>HYPERLINK("D:\python\英语学习\voices\"&amp;B378&amp;"_1.mp3","BrE")</f>
        <v/>
      </c>
      <c r="H378" s="18">
        <f>HYPERLINK("D:\python\英语学习\voices\"&amp;B378&amp;"_2.mp3","AmE")</f>
        <v/>
      </c>
      <c r="I378" s="18">
        <f>HYPERLINK("http://dict.youdao.com/w/"&amp;B378,"有道")</f>
        <v/>
      </c>
    </row>
    <row customHeight="1" ht="42.75" r="379">
      <c r="B379" s="1" t="inlineStr">
        <is>
          <t>console</t>
        </is>
      </c>
      <c r="C379" s="7">
        <f>"n. [计] 控制台；[电] 操纵台；支撑架"&amp;CHAR(10)&amp;"vt. 安慰；慰藉"&amp;CHAR(10)&amp;"n. （Console）人名；（意、罗）孔索莱"</f>
        <v/>
      </c>
      <c r="G379" s="18">
        <f>HYPERLINK("D:\python\英语学习\voices\"&amp;B379&amp;"_1.mp3","BrE")</f>
        <v/>
      </c>
      <c r="H379" s="18">
        <f>HYPERLINK("D:\python\英语学习\voices\"&amp;B379&amp;"_2.mp3","AmE")</f>
        <v/>
      </c>
      <c r="I379" s="18">
        <f>HYPERLINK("http://dict.youdao.com/w/"&amp;B379,"有道")</f>
        <v/>
      </c>
    </row>
    <row customHeight="1" ht="28.5" r="380">
      <c r="B380" s="1" t="inlineStr">
        <is>
          <t>consolidate</t>
        </is>
      </c>
      <c r="C380" s="7">
        <f>"vt. 巩固，使固定；联合"&amp;CHAR(10)&amp;"vi. 巩固，加强"</f>
        <v/>
      </c>
      <c r="G380" s="18">
        <f>HYPERLINK("D:\python\英语学习\voices\"&amp;B380&amp;"_1.mp3","BrE")</f>
        <v/>
      </c>
      <c r="H380" s="18">
        <f>HYPERLINK("D:\python\英语学习\voices\"&amp;B380&amp;"_2.mp3","AmE")</f>
        <v/>
      </c>
      <c r="I380" s="18">
        <f>HYPERLINK("http://dict.youdao.com/w/"&amp;B380,"有道")</f>
        <v/>
      </c>
    </row>
    <row r="381">
      <c r="B381" s="1" t="inlineStr">
        <is>
          <t>consolidation</t>
        </is>
      </c>
      <c r="C381" s="7">
        <f>"n. 巩固；合并；团结"</f>
        <v/>
      </c>
      <c r="G381" s="18">
        <f>HYPERLINK("D:\python\英语学习\voices\"&amp;B381&amp;"_1.mp3","BrE")</f>
        <v/>
      </c>
      <c r="H381" s="18">
        <f>HYPERLINK("D:\python\英语学习\voices\"&amp;B381&amp;"_2.mp3","AmE")</f>
        <v/>
      </c>
      <c r="I381" s="18">
        <f>HYPERLINK("http://dict.youdao.com/w/"&amp;B381,"有道")</f>
        <v/>
      </c>
    </row>
    <row customHeight="1" ht="28.5" r="382">
      <c r="A382" s="1" t="inlineStr">
        <is>
          <t>unnecessary</t>
        </is>
      </c>
      <c r="B382" s="1" t="inlineStr">
        <is>
          <t>consonant</t>
        </is>
      </c>
      <c r="C382" s="7">
        <f>"adj. 辅音的；一致的；和谐的"&amp;CHAR(10)&amp;"n. 辅音；辅音字母"</f>
        <v/>
      </c>
      <c r="G382" s="18">
        <f>HYPERLINK("D:\python\英语学习\voices\"&amp;B382&amp;"_1.mp3","BrE")</f>
        <v/>
      </c>
      <c r="H382" s="18">
        <f>HYPERLINK("D:\python\英语学习\voices\"&amp;B382&amp;"_2.mp3","AmE")</f>
        <v/>
      </c>
      <c r="I382" s="18">
        <f>HYPERLINK("http://dict.youdao.com/w/"&amp;B382,"有道")</f>
        <v/>
      </c>
    </row>
    <row customHeight="1" ht="42.75" r="383">
      <c r="A383" s="1" t="inlineStr">
        <is>
          <t>important</t>
        </is>
      </c>
      <c r="B383" s="1" t="inlineStr">
        <is>
          <t>nadir</t>
        </is>
      </c>
      <c r="C383" s="7">
        <f>"n. 最低点，最底点；[天] 天底"&amp;CHAR(10)&amp;"n. (Nadir)人名；(土、葡、巴基、阿拉伯)纳迪尔"</f>
        <v/>
      </c>
      <c r="E383" s="6" t="inlineStr">
        <is>
          <t>最糟糕的时刻</t>
        </is>
      </c>
      <c r="G383" s="18">
        <f>HYPERLINK("D:\python\英语学习\voices\"&amp;B383&amp;"_1.mp3","BrE")</f>
        <v/>
      </c>
      <c r="H383" s="18">
        <f>HYPERLINK("D:\python\英语学习\voices\"&amp;B383&amp;"_2.mp3","AmE")</f>
        <v/>
      </c>
      <c r="I383" s="18">
        <f>HYPERLINK("http://dict.youdao.com/w/"&amp;B383,"有道")</f>
        <v/>
      </c>
    </row>
    <row customHeight="1" ht="28.5" r="384">
      <c r="B384" s="1" t="inlineStr">
        <is>
          <t>constable</t>
        </is>
      </c>
      <c r="C384" s="7">
        <f>"n. 治安官，巡警；警察"&amp;CHAR(10)&amp;"n. (Constable)人名；(英)康斯特布尔"</f>
        <v/>
      </c>
      <c r="G384" s="18">
        <f>HYPERLINK("D:\python\英语学习\voices\"&amp;B384&amp;"_1.mp3","BrE")</f>
        <v/>
      </c>
      <c r="H384" s="18">
        <f>HYPERLINK("D:\python\英语学习\voices\"&amp;B384&amp;"_2.mp3","AmE")</f>
        <v/>
      </c>
      <c r="I384" s="18">
        <f>HYPERLINK("http://dict.youdao.com/w/"&amp;B384,"有道")</f>
        <v/>
      </c>
    </row>
    <row customHeight="1" ht="28.5" r="385">
      <c r="B385" s="1" t="inlineStr">
        <is>
          <t>constituent</t>
        </is>
      </c>
      <c r="C385" s="7">
        <f>"n. 成分；选民；委托人"&amp;CHAR(10)&amp;"adj. 构成的；选举的"</f>
        <v/>
      </c>
      <c r="G385" s="18">
        <f>HYPERLINK("D:\python\英语学习\voices\"&amp;B385&amp;"_1.mp3","BrE")</f>
        <v/>
      </c>
      <c r="H385" s="18">
        <f>HYPERLINK("D:\python\英语学习\voices\"&amp;B385&amp;"_2.mp3","AmE")</f>
        <v/>
      </c>
      <c r="I385" s="18">
        <f>HYPERLINK("http://dict.youdao.com/w/"&amp;B385,"有道")</f>
        <v/>
      </c>
    </row>
    <row r="386">
      <c r="A386" t="inlineStr">
        <is>
          <t>important</t>
        </is>
      </c>
      <c r="B386" s="1" t="inlineStr">
        <is>
          <t>constitute</t>
        </is>
      </c>
      <c r="C386" s="7">
        <f>"vt. 组成，构成；建立；任命"</f>
        <v/>
      </c>
      <c r="E386" s="6" t="inlineStr">
        <is>
          <t>注意拼写-te结尾
用得好很好</t>
        </is>
      </c>
      <c r="F386">
        <f>"12 months constitute a year."&amp;CHAR(10)&amp;"7 days constitute a week."&amp;CHAR(10)&amp;"In the following sections,we describe five different methods, which constitute potential solutions to the FN problem."</f>
        <v/>
      </c>
      <c r="G386" s="18">
        <f>HYPERLINK("D:\python\英语学习\voices\"&amp;B386&amp;"_1.mp3","BrE")</f>
        <v/>
      </c>
      <c r="H386" s="18">
        <f>HYPERLINK("D:\python\英语学习\voices\"&amp;B386&amp;"_2.mp3","AmE")</f>
        <v/>
      </c>
      <c r="I386" s="18">
        <f>HYPERLINK("http://dict.youdao.com/w/"&amp;B386,"有道")</f>
        <v/>
      </c>
    </row>
    <row r="387">
      <c r="B387" s="1" t="inlineStr">
        <is>
          <t>constrain</t>
        </is>
      </c>
      <c r="C387" s="7">
        <f>"vt. 驱使；强迫；束缚"</f>
        <v/>
      </c>
      <c r="G387" s="18">
        <f>HYPERLINK("D:\python\英语学习\voices\"&amp;B387&amp;"_1.mp3","BrE")</f>
        <v/>
      </c>
      <c r="H387" s="18">
        <f>HYPERLINK("D:\python\英语学习\voices\"&amp;B387&amp;"_2.mp3","AmE")</f>
        <v/>
      </c>
      <c r="I387" s="18">
        <f>HYPERLINK("http://dict.youdao.com/w/"&amp;B387,"有道")</f>
        <v/>
      </c>
    </row>
    <row customHeight="1" ht="28.5" r="388">
      <c r="B388" s="1" t="inlineStr">
        <is>
          <t>construe</t>
        </is>
      </c>
      <c r="C388" s="7">
        <f>"vt. 分析；解释；翻译"&amp;CHAR(10)&amp;"vi. 作文法性的分析"</f>
        <v/>
      </c>
      <c r="G388" s="18">
        <f>HYPERLINK("D:\python\英语学习\voices\"&amp;B388&amp;"_1.mp3","BrE")</f>
        <v/>
      </c>
      <c r="H388" s="18">
        <f>HYPERLINK("D:\python\英语学习\voices\"&amp;B388&amp;"_2.mp3","AmE")</f>
        <v/>
      </c>
      <c r="I388" s="18">
        <f>HYPERLINK("http://dict.youdao.com/w/"&amp;B388,"有道")</f>
        <v/>
      </c>
    </row>
    <row customHeight="1" ht="28.5" r="389">
      <c r="B389" s="1" t="inlineStr">
        <is>
          <t>consul</t>
        </is>
      </c>
      <c r="C389" s="7">
        <f>"n. 领事；（古罗马的）两执政官之一"&amp;CHAR(10)&amp;"n. (Consul)人名；(法)孔叙尔"</f>
        <v/>
      </c>
      <c r="G389" s="18">
        <f>HYPERLINK("D:\python\英语学习\voices\"&amp;B389&amp;"_1.mp3","BrE")</f>
        <v/>
      </c>
      <c r="H389" s="18">
        <f>HYPERLINK("D:\python\英语学习\voices\"&amp;B389&amp;"_2.mp3","AmE")</f>
        <v/>
      </c>
      <c r="I389" s="18">
        <f>HYPERLINK("http://dict.youdao.com/w/"&amp;B389,"有道")</f>
        <v/>
      </c>
    </row>
    <row r="390">
      <c r="B390" s="1" t="inlineStr">
        <is>
          <t>consultancy</t>
        </is>
      </c>
      <c r="C390" s="7">
        <f>"n. 咨询公司；顾问工作"</f>
        <v/>
      </c>
      <c r="G390" s="18">
        <f>HYPERLINK("D:\python\英语学习\voices\"&amp;B390&amp;"_1.mp3","BrE")</f>
        <v/>
      </c>
      <c r="H390" s="18">
        <f>HYPERLINK("D:\python\英语学习\voices\"&amp;B390&amp;"_2.mp3","AmE")</f>
        <v/>
      </c>
      <c r="I390" s="18">
        <f>HYPERLINK("http://dict.youdao.com/w/"&amp;B390,"有道")</f>
        <v/>
      </c>
    </row>
    <row r="391">
      <c r="B391" s="1" t="inlineStr">
        <is>
          <t>contagious</t>
        </is>
      </c>
      <c r="C391" s="7">
        <f>"adj. 感染性的；会蔓延的"</f>
        <v/>
      </c>
      <c r="G391" s="18">
        <f>HYPERLINK("D:\python\英语学习\voices\"&amp;B391&amp;"_1.mp3","BrE")</f>
        <v/>
      </c>
      <c r="H391" s="18">
        <f>HYPERLINK("D:\python\英语学习\voices\"&amp;B391&amp;"_2.mp3","AmE")</f>
        <v/>
      </c>
      <c r="I391" s="18">
        <f>HYPERLINK("http://dict.youdao.com/w/"&amp;B391,"有道")</f>
        <v/>
      </c>
    </row>
    <row r="392">
      <c r="B392" s="1" t="inlineStr">
        <is>
          <t>contaminate</t>
        </is>
      </c>
      <c r="C392" s="7">
        <f>"vt. 污染，弄脏"</f>
        <v/>
      </c>
      <c r="G392" s="18">
        <f>HYPERLINK("D:\python\英语学习\voices\"&amp;B392&amp;"_1.mp3","BrE")</f>
        <v/>
      </c>
      <c r="H392" s="18">
        <f>HYPERLINK("D:\python\英语学习\voices\"&amp;B392&amp;"_2.mp3","AmE")</f>
        <v/>
      </c>
      <c r="I392" s="18">
        <f>HYPERLINK("http://dict.youdao.com/w/"&amp;B392,"有道")</f>
        <v/>
      </c>
    </row>
    <row r="393">
      <c r="B393" s="1" t="inlineStr">
        <is>
          <t>contempt</t>
        </is>
      </c>
      <c r="C393" s="7">
        <f>"n. 轻视，蔑视；耻辱"</f>
        <v/>
      </c>
      <c r="G393" s="18">
        <f>HYPERLINK("D:\python\英语学习\voices\"&amp;B393&amp;"_1.mp3","BrE")</f>
        <v/>
      </c>
      <c r="H393" s="18">
        <f>HYPERLINK("D:\python\英语学习\voices\"&amp;B393&amp;"_2.mp3","AmE")</f>
        <v/>
      </c>
      <c r="I393" s="18">
        <f>HYPERLINK("http://dict.youdao.com/w/"&amp;B393,"有道")</f>
        <v/>
      </c>
    </row>
    <row customHeight="1" ht="28.5" r="394">
      <c r="A394" s="1" t="inlineStr">
        <is>
          <t>important</t>
        </is>
      </c>
      <c r="B394" s="1" t="inlineStr">
        <is>
          <t>outright</t>
        </is>
      </c>
      <c r="C394" s="7">
        <f>"adv. 全部地；立刻地；率直地；一直向前；痛快地"&amp;CHAR(10)&amp;"adj. 完全的，彻底的；直率的；总共的"</f>
        <v/>
      </c>
      <c r="G394" s="18">
        <f>HYPERLINK("D:\python\英语学习\voices\"&amp;B394&amp;"_1.mp3","BrE")</f>
        <v/>
      </c>
      <c r="H394" s="18">
        <f>HYPERLINK("D:\python\英语学习\voices\"&amp;B394&amp;"_2.mp3","AmE")</f>
        <v/>
      </c>
      <c r="I394" s="18">
        <f>HYPERLINK("http://dict.youdao.com/w/"&amp;B394,"有道")</f>
        <v/>
      </c>
    </row>
    <row r="395">
      <c r="B395" s="1" t="inlineStr">
        <is>
          <t>context</t>
        </is>
      </c>
      <c r="C395" s="7">
        <f>"n. 环境；上下文；来龙去脉"</f>
        <v/>
      </c>
      <c r="G395" s="18">
        <f>HYPERLINK("D:\python\英语学习\voices\"&amp;B395&amp;"_1.mp3","BrE")</f>
        <v/>
      </c>
      <c r="H395" s="18">
        <f>HYPERLINK("D:\python\英语学习\voices\"&amp;B395&amp;"_2.mp3","AmE")</f>
        <v/>
      </c>
      <c r="I395" s="18">
        <f>HYPERLINK("http://dict.youdao.com/w/"&amp;B395,"有道")</f>
        <v/>
      </c>
    </row>
    <row r="396">
      <c r="B396" s="1" t="inlineStr">
        <is>
          <t>contextual</t>
        </is>
      </c>
      <c r="C396" s="7">
        <f>"adj. 上下文的；前后关系的"</f>
        <v/>
      </c>
      <c r="G396" s="18">
        <f>HYPERLINK("D:\python\英语学习\voices\"&amp;B396&amp;"_1.mp3","BrE")</f>
        <v/>
      </c>
      <c r="H396" s="18">
        <f>HYPERLINK("D:\python\英语学习\voices\"&amp;B396&amp;"_2.mp3","AmE")</f>
        <v/>
      </c>
      <c r="I396" s="18">
        <f>HYPERLINK("http://dict.youdao.com/w/"&amp;B396,"有道")</f>
        <v/>
      </c>
    </row>
    <row customHeight="1" ht="28.5" r="397">
      <c r="B397" s="1" t="inlineStr">
        <is>
          <t>continental</t>
        </is>
      </c>
      <c r="C397" s="7">
        <f>"adj. 大陆的；大陆性的"&amp;CHAR(10)&amp;"n. 欧洲人"</f>
        <v/>
      </c>
      <c r="G397" s="18">
        <f>HYPERLINK("D:\python\英语学习\voices\"&amp;B397&amp;"_1.mp3","BrE")</f>
        <v/>
      </c>
      <c r="H397" s="18">
        <f>HYPERLINK("D:\python\英语学习\voices\"&amp;B397&amp;"_2.mp3","AmE")</f>
        <v/>
      </c>
      <c r="I397" s="18">
        <f>HYPERLINK("http://dict.youdao.com/w/"&amp;B397,"有道")</f>
        <v/>
      </c>
    </row>
    <row customHeight="1" ht="28.5" r="398">
      <c r="B398" s="1" t="inlineStr">
        <is>
          <t>contingency</t>
        </is>
      </c>
      <c r="C398" s="7">
        <f>"n. 偶然性；[安全] 意外事故；可能性；[审计] 意外开支；[离散数学或逻辑学]偶然式"</f>
        <v/>
      </c>
      <c r="E398" s="6" t="inlineStr">
        <is>
          <t>偶发（或不测、意外）事件</t>
        </is>
      </c>
      <c r="G398" s="18">
        <f>HYPERLINK("D:\python\英语学习\voices\"&amp;B398&amp;"_1.mp3","BrE")</f>
        <v/>
      </c>
      <c r="H398" s="18">
        <f>HYPERLINK("D:\python\英语学习\voices\"&amp;B398&amp;"_2.mp3","AmE")</f>
        <v/>
      </c>
      <c r="I398" s="18">
        <f>HYPERLINK("http://dict.youdao.com/w/"&amp;B398,"有道")</f>
        <v/>
      </c>
    </row>
    <row customHeight="1" ht="57" r="399">
      <c r="B399" s="1" t="inlineStr">
        <is>
          <t>contingent</t>
        </is>
      </c>
      <c r="C399" s="7">
        <f>"adj. 因情况而异的；不一定的；偶然发生的；可能的；依情况而定的；偶然的；[逻]有条件的"&amp;CHAR(10)&amp;"n. 分遣队；偶然事件；分得部分；代表团"</f>
        <v/>
      </c>
      <c r="G399" s="18">
        <f>HYPERLINK("D:\python\英语学习\voices\"&amp;B399&amp;"_1.mp3","BrE")</f>
        <v/>
      </c>
      <c r="H399" s="18">
        <f>HYPERLINK("D:\python\英语学习\voices\"&amp;B399&amp;"_2.mp3","AmE")</f>
        <v/>
      </c>
      <c r="I399" s="18">
        <f>HYPERLINK("http://dict.youdao.com/w/"&amp;B399,"有道")</f>
        <v/>
      </c>
    </row>
    <row r="400">
      <c r="B400" s="1" t="inlineStr">
        <is>
          <t>continual</t>
        </is>
      </c>
      <c r="C400" s="7">
        <f>"adj. 持续不断的；频繁的"</f>
        <v/>
      </c>
      <c r="G400" s="18">
        <f>HYPERLINK("D:\python\英语学习\voices\"&amp;B400&amp;"_1.mp3","BrE")</f>
        <v/>
      </c>
      <c r="H400" s="18">
        <f>HYPERLINK("D:\python\英语学习\voices\"&amp;B400&amp;"_2.mp3","AmE")</f>
        <v/>
      </c>
      <c r="I400" s="18">
        <f>HYPERLINK("http://dict.youdao.com/w/"&amp;B400,"有道")</f>
        <v/>
      </c>
    </row>
    <row r="401">
      <c r="B401" s="1" t="inlineStr">
        <is>
          <t>continuum</t>
        </is>
      </c>
      <c r="C401" s="7">
        <f>"n. [数] 连续统；[经] 连续统一体；闭联集"</f>
        <v/>
      </c>
      <c r="G401" s="18">
        <f>HYPERLINK("D:\python\英语学习\voices\"&amp;B401&amp;"_1.mp3","BrE")</f>
        <v/>
      </c>
      <c r="H401" s="18">
        <f>HYPERLINK("D:\python\英语学习\voices\"&amp;B401&amp;"_2.mp3","AmE")</f>
        <v/>
      </c>
      <c r="I401" s="18">
        <f>HYPERLINK("http://dict.youdao.com/w/"&amp;B401,"有道")</f>
        <v/>
      </c>
    </row>
    <row r="402">
      <c r="B402" s="1" t="inlineStr">
        <is>
          <t>contraction</t>
        </is>
      </c>
      <c r="C402" s="7">
        <f>"n. 收缩，紧缩；缩写式；害病"</f>
        <v/>
      </c>
      <c r="G402" s="18">
        <f>HYPERLINK("D:\python\英语学习\voices\"&amp;B402&amp;"_1.mp3","BrE")</f>
        <v/>
      </c>
      <c r="H402" s="18">
        <f>HYPERLINK("D:\python\英语学习\voices\"&amp;B402&amp;"_2.mp3","AmE")</f>
        <v/>
      </c>
      <c r="I402" s="18">
        <f>HYPERLINK("http://dict.youdao.com/w/"&amp;B402,"有道")</f>
        <v/>
      </c>
    </row>
    <row customHeight="1" ht="28.5" r="403">
      <c r="B403" s="1" t="inlineStr">
        <is>
          <t>contradict</t>
        </is>
      </c>
      <c r="C403" s="7">
        <f>"vt. 反驳；否定；与…矛盾；与…抵触"&amp;CHAR(10)&amp;"vi. 反驳；否认；发生矛盾"</f>
        <v/>
      </c>
      <c r="G403" s="18">
        <f>HYPERLINK("D:\python\英语学习\voices\"&amp;B403&amp;"_1.mp3","BrE")</f>
        <v/>
      </c>
      <c r="H403" s="18">
        <f>HYPERLINK("D:\python\英语学习\voices\"&amp;B403&amp;"_2.mp3","AmE")</f>
        <v/>
      </c>
      <c r="I403" s="18">
        <f>HYPERLINK("http://dict.youdao.com/w/"&amp;B403,"有道")</f>
        <v/>
      </c>
    </row>
    <row customHeight="1" ht="42.75" r="404">
      <c r="B404" s="1" t="inlineStr">
        <is>
          <t>contrast</t>
        </is>
      </c>
      <c r="C404" s="7">
        <f>"vi. 对比；形成对照"&amp;CHAR(10)&amp;"vt. 使对比；使与…对照"&amp;CHAR(10)&amp;"n. 对比；差别；对照物"</f>
        <v/>
      </c>
      <c r="G404" s="18">
        <f>HYPERLINK("D:\python\英语学习\voices\"&amp;B404&amp;"_1.mp3","BrE")</f>
        <v/>
      </c>
      <c r="H404" s="18">
        <f>HYPERLINK("D:\python\英语学习\voices\"&amp;B404&amp;"_2.mp3","AmE")</f>
        <v/>
      </c>
      <c r="I404" s="18">
        <f>HYPERLINK("http://dict.youdao.com/w/"&amp;B404,"有道")</f>
        <v/>
      </c>
    </row>
    <row customHeight="1" ht="28.5" r="405">
      <c r="A405" s="1" t="inlineStr">
        <is>
          <t>important</t>
        </is>
      </c>
      <c r="B405" s="1" t="inlineStr">
        <is>
          <t>paramount</t>
        </is>
      </c>
      <c r="C405" s="7">
        <f>"adj. 最重要的，主要的；至高无上的"&amp;CHAR(10)&amp;"n. 最高统治者"</f>
        <v/>
      </c>
      <c r="E405" s="6" t="inlineStr">
        <is>
          <t>of paramount importance</t>
        </is>
      </c>
      <c r="F405" s="14">
        <f>"Bomb threats should be taken seriously and guest and employees safety is E405 and must be considered at all times
严肃认真地处理爆炸恐吓事件，时刻将客人和员工的安全放在首要位置。"</f>
        <v/>
      </c>
      <c r="G405" s="18">
        <f>HYPERLINK("D:\python\英语学习\voices\"&amp;B405&amp;"_1.mp3","BrE")</f>
        <v/>
      </c>
      <c r="H405" s="18">
        <f>HYPERLINK("D:\python\英语学习\voices\"&amp;B405&amp;"_2.mp3","AmE")</f>
        <v/>
      </c>
      <c r="I405" s="18">
        <f>HYPERLINK("http://dict.youdao.com/w/"&amp;B405,"有道")</f>
        <v/>
      </c>
    </row>
    <row r="406">
      <c r="B406" s="1" t="inlineStr">
        <is>
          <t>controversy</t>
        </is>
      </c>
      <c r="C406" s="7">
        <f>"n. 争论；论战；辩论"</f>
        <v/>
      </c>
      <c r="E406" s="6" t="inlineStr">
        <is>
          <t>(涉及很多人且历时很久的)</t>
        </is>
      </c>
      <c r="G406" s="18">
        <f>HYPERLINK("D:\python\英语学习\voices\"&amp;B406&amp;"_1.mp3","BrE")</f>
        <v/>
      </c>
      <c r="H406" s="18">
        <f>HYPERLINK("D:\python\英语学习\voices\"&amp;B406&amp;"_2.mp3","AmE")</f>
        <v/>
      </c>
      <c r="I406" s="18">
        <f>HYPERLINK("http://dict.youdao.com/w/"&amp;B406,"有道")</f>
        <v/>
      </c>
    </row>
    <row customHeight="1" ht="28.5" r="407">
      <c r="B407" s="1" t="inlineStr">
        <is>
          <t>convene</t>
        </is>
      </c>
      <c r="C407" s="7">
        <f>"vt. 召集，集合；传唤"&amp;CHAR(10)&amp;"vi. 聚集，集合"</f>
        <v/>
      </c>
      <c r="G407" s="18">
        <f>HYPERLINK("D:\python\英语学习\voices\"&amp;B407&amp;"_1.mp3","BrE")</f>
        <v/>
      </c>
      <c r="H407" s="18">
        <f>HYPERLINK("D:\python\英语学习\voices\"&amp;B407&amp;"_2.mp3","AmE")</f>
        <v/>
      </c>
      <c r="I407" s="18">
        <f>HYPERLINK("http://dict.youdao.com/w/"&amp;B407,"有道")</f>
        <v/>
      </c>
    </row>
    <row customHeight="1" ht="29.1" r="408">
      <c r="B408" s="1" t="inlineStr">
        <is>
          <t>convention</t>
        </is>
      </c>
      <c r="C408" s="7">
        <f>"n. 大会；[法] 惯例；[计] 约定；[法] 协定；习俗"</f>
        <v/>
      </c>
      <c r="G408" s="18">
        <f>HYPERLINK("D:\python\英语学习\voices\"&amp;B408&amp;"_1.mp3","BrE")</f>
        <v/>
      </c>
      <c r="H408" s="18">
        <f>HYPERLINK("D:\python\英语学习\voices\"&amp;B408&amp;"_2.mp3","AmE")</f>
        <v/>
      </c>
      <c r="I408" s="18">
        <f>HYPERLINK("http://dict.youdao.com/w/"&amp;B408,"有道")</f>
        <v/>
      </c>
    </row>
    <row customHeight="1" ht="28.5" r="409">
      <c r="A409" s="1" t="inlineStr">
        <is>
          <t>unnecessary</t>
        </is>
      </c>
      <c r="B409" s="1" t="inlineStr">
        <is>
          <t>convergence</t>
        </is>
      </c>
      <c r="C409" s="7">
        <f>"n. [数] 收敛；会聚，集合"&amp;CHAR(10)&amp;"n. (Convergence)人名；(法)孔韦尔让斯"</f>
        <v/>
      </c>
      <c r="G409" s="18">
        <f>HYPERLINK("D:\python\英语学习\voices\"&amp;B409&amp;"_1.mp3","BrE")</f>
        <v/>
      </c>
      <c r="H409" s="18">
        <f>HYPERLINK("D:\python\英语学习\voices\"&amp;B409&amp;"_2.mp3","AmE")</f>
        <v/>
      </c>
      <c r="I409" s="18">
        <f>HYPERLINK("http://dict.youdao.com/w/"&amp;B409,"有道")</f>
        <v/>
      </c>
    </row>
    <row customHeight="1" ht="28.5" r="410">
      <c r="B410" s="1" t="inlineStr">
        <is>
          <t>convertible</t>
        </is>
      </c>
      <c r="C410" s="7">
        <f>"adj. 可改变的；同意义的；可交换的"&amp;CHAR(10)&amp;"n. 有活动折篷的汽车"</f>
        <v/>
      </c>
      <c r="G410" s="18">
        <f>HYPERLINK("D:\python\英语学习\voices\"&amp;B410&amp;"_1.mp3","BrE")</f>
        <v/>
      </c>
      <c r="H410" s="18">
        <f>HYPERLINK("D:\python\英语学习\voices\"&amp;B410&amp;"_2.mp3","AmE")</f>
        <v/>
      </c>
      <c r="I410" s="18">
        <f>HYPERLINK("http://dict.youdao.com/w/"&amp;B410,"有道")</f>
        <v/>
      </c>
    </row>
    <row customHeight="1" ht="43.5" r="411">
      <c r="B411" s="1" t="inlineStr">
        <is>
          <t>conviction</t>
        </is>
      </c>
      <c r="C411" s="7">
        <f>"n. 定罪；确信；证明有罪；确信，坚定的信仰"</f>
        <v/>
      </c>
      <c r="G411" s="18">
        <f>HYPERLINK("D:\python\英语学习\voices\"&amp;B411&amp;"_1.mp3","BrE")</f>
        <v/>
      </c>
      <c r="H411" s="18">
        <f>HYPERLINK("D:\python\英语学习\voices\"&amp;B411&amp;"_2.mp3","AmE")</f>
        <v/>
      </c>
      <c r="I411" s="18">
        <f>HYPERLINK("http://dict.youdao.com/w/"&amp;B411,"有道")</f>
        <v/>
      </c>
    </row>
    <row customHeight="1" ht="57" r="412">
      <c r="B412" s="1" t="inlineStr">
        <is>
          <t>coordinate</t>
        </is>
      </c>
      <c r="C412" s="7">
        <f>"n. 坐标；同等的人或物"&amp;CHAR(10)&amp;"adj. 并列的；同等的"&amp;CHAR(10)&amp;"vt. 调整；整合"&amp;CHAR(10)&amp;"vi. 协调"</f>
        <v/>
      </c>
      <c r="G412" s="18">
        <f>HYPERLINK("D:\python\英语学习\voices\"&amp;B412&amp;"_1.mp3","BrE")</f>
        <v/>
      </c>
      <c r="H412" s="18">
        <f>HYPERLINK("D:\python\英语学习\voices\"&amp;B412&amp;"_2.mp3","AmE")</f>
        <v/>
      </c>
      <c r="I412" s="18">
        <f>HYPERLINK("http://dict.youdao.com/w/"&amp;B412,"有道")</f>
        <v/>
      </c>
    </row>
    <row customHeight="1" ht="28.5" r="413">
      <c r="B413" s="1" t="inlineStr">
        <is>
          <t>cordial</t>
        </is>
      </c>
      <c r="C413" s="7">
        <f>"adj. 热忱的，诚恳的；兴奋的"&amp;CHAR(10)&amp;"n. 补品；兴奋剂；甜香酒，甘露酒"</f>
        <v/>
      </c>
      <c r="G413" s="18">
        <f>HYPERLINK("D:\python\英语学习\voices\"&amp;B413&amp;"_1.mp3","BrE")</f>
        <v/>
      </c>
      <c r="H413" s="18">
        <f>HYPERLINK("D:\python\英语学习\voices\"&amp;B413&amp;"_2.mp3","AmE")</f>
        <v/>
      </c>
      <c r="I413" s="18">
        <f>HYPERLINK("http://dict.youdao.com/w/"&amp;B413,"有道")</f>
        <v/>
      </c>
    </row>
    <row r="414">
      <c r="B414" s="1" t="inlineStr">
        <is>
          <t>coronary</t>
        </is>
      </c>
      <c r="C414" s="7">
        <f>"adj. 冠的；冠状的；花冠的"</f>
        <v/>
      </c>
      <c r="G414" s="18">
        <f>HYPERLINK("D:\python\英语学习\voices\"&amp;B414&amp;"_1.mp3","BrE")</f>
        <v/>
      </c>
      <c r="H414" s="18">
        <f>HYPERLINK("D:\python\英语学习\voices\"&amp;B414&amp;"_2.mp3","AmE")</f>
        <v/>
      </c>
      <c r="I414" s="18">
        <f>HYPERLINK("http://dict.youdao.com/w/"&amp;B414,"有道")</f>
        <v/>
      </c>
    </row>
    <row customHeight="1" ht="28.5" r="415">
      <c r="B415" s="1" t="inlineStr">
        <is>
          <t>corpus</t>
        </is>
      </c>
      <c r="C415" s="7">
        <f>"n. [计] 语料库；文集；本金"&amp;CHAR(10)&amp;"n. (Corpus)人名；(西)科尔普斯"</f>
        <v/>
      </c>
      <c r="E415" s="6" t="inlineStr">
        <is>
          <t>注意拼写-corpse尸体</t>
        </is>
      </c>
      <c r="G415" s="18">
        <f>HYPERLINK("D:\python\英语学习\voices\"&amp;B415&amp;"_1.mp3","BrE")</f>
        <v/>
      </c>
      <c r="H415" s="18">
        <f>HYPERLINK("D:\python\英语学习\voices\"&amp;B415&amp;"_2.mp3","AmE")</f>
        <v/>
      </c>
      <c r="I415" s="18">
        <f>HYPERLINK("http://dict.youdao.com/w/"&amp;B415,"有道")</f>
        <v/>
      </c>
    </row>
    <row customHeight="1" ht="42.75" r="416">
      <c r="B416" s="1" t="inlineStr">
        <is>
          <t>correlate</t>
        </is>
      </c>
      <c r="C416" s="7">
        <f>"vi. 关联"&amp;CHAR(10)&amp;"vt. 使有相互关系；互相有关系"&amp;CHAR(10)&amp;"n. 相关物；相关联的人"</f>
        <v/>
      </c>
      <c r="G416" s="18">
        <f>HYPERLINK("D:\python\英语学习\voices\"&amp;B416&amp;"_1.mp3","BrE")</f>
        <v/>
      </c>
      <c r="H416" s="18">
        <f>HYPERLINK("D:\python\英语学习\voices\"&amp;B416&amp;"_2.mp3","AmE")</f>
        <v/>
      </c>
      <c r="I416" s="18">
        <f>HYPERLINK("http://dict.youdao.com/w/"&amp;B416,"有道")</f>
        <v/>
      </c>
    </row>
    <row r="417">
      <c r="B417" s="1" t="inlineStr">
        <is>
          <t>correlation</t>
        </is>
      </c>
      <c r="C417" s="7">
        <f>"n. [数] 相关，关联；相互关系"</f>
        <v/>
      </c>
      <c r="G417" s="18">
        <f>HYPERLINK("D:\python\英语学习\voices\"&amp;B417&amp;"_1.mp3","BrE")</f>
        <v/>
      </c>
      <c r="H417" s="18">
        <f>HYPERLINK("D:\python\英语学习\voices\"&amp;B417&amp;"_2.mp3","AmE")</f>
        <v/>
      </c>
      <c r="I417" s="18">
        <f>HYPERLINK("http://dict.youdao.com/w/"&amp;B417,"有道")</f>
        <v/>
      </c>
    </row>
    <row r="418">
      <c r="B418" s="1" t="inlineStr">
        <is>
          <t>correspondence</t>
        </is>
      </c>
      <c r="C418" s="7">
        <f>"n. 通信；一致；相当"</f>
        <v/>
      </c>
      <c r="G418" s="18">
        <f>HYPERLINK("D:\python\英语学习\voices\"&amp;B418&amp;"_1.mp3","BrE")</f>
        <v/>
      </c>
      <c r="H418" s="18">
        <f>HYPERLINK("D:\python\英语学习\voices\"&amp;B418&amp;"_2.mp3","AmE")</f>
        <v/>
      </c>
      <c r="I418" s="18">
        <f>HYPERLINK("http://dict.youdao.com/w/"&amp;B418,"有道")</f>
        <v/>
      </c>
    </row>
    <row customHeight="1" ht="28.5" r="419">
      <c r="B419" s="1" t="inlineStr">
        <is>
          <t>corrode</t>
        </is>
      </c>
      <c r="C419" s="7">
        <f>"vt. 侵蚀；损害"&amp;CHAR(10)&amp;"vi. 受腐蚀；起腐蚀作用"</f>
        <v/>
      </c>
      <c r="G419" s="18">
        <f>HYPERLINK("D:\python\英语学习\voices\"&amp;B419&amp;"_1.mp3","BrE")</f>
        <v/>
      </c>
      <c r="H419" s="18">
        <f>HYPERLINK("D:\python\英语学习\voices\"&amp;B419&amp;"_2.mp3","AmE")</f>
        <v/>
      </c>
      <c r="I419" s="18">
        <f>HYPERLINK("http://dict.youdao.com/w/"&amp;B419,"有道")</f>
        <v/>
      </c>
    </row>
    <row customHeight="1" ht="42.75" r="420">
      <c r="B420" s="1" t="inlineStr">
        <is>
          <t>corrupt</t>
        </is>
      </c>
      <c r="C420" s="7">
        <f>"adj. 腐败的，贪污的；堕落的"&amp;CHAR(10)&amp;"vt. 使腐烂；使堕落，使恶化"&amp;CHAR(10)&amp;"vi. 堕落，腐化；腐烂"</f>
        <v/>
      </c>
      <c r="G420" s="18">
        <f>HYPERLINK("D:\python\英语学习\voices\"&amp;B420&amp;"_1.mp3","BrE")</f>
        <v/>
      </c>
      <c r="H420" s="18">
        <f>HYPERLINK("D:\python\英语学习\voices\"&amp;B420&amp;"_2.mp3","AmE")</f>
        <v/>
      </c>
      <c r="I420" s="18">
        <f>HYPERLINK("http://dict.youdao.com/w/"&amp;B420,"有道")</f>
        <v/>
      </c>
    </row>
    <row r="421">
      <c r="B421" s="1" t="inlineStr">
        <is>
          <t>cortex</t>
        </is>
      </c>
      <c r="C421" s="7">
        <f>"n. [解剖] 皮质；树皮；果皮"</f>
        <v/>
      </c>
      <c r="G421" s="18">
        <f>HYPERLINK("D:\python\英语学习\voices\"&amp;B421&amp;"_1.mp3","BrE")</f>
        <v/>
      </c>
      <c r="H421" s="18">
        <f>HYPERLINK("D:\python\英语学习\voices\"&amp;B421&amp;"_2.mp3","AmE")</f>
        <v/>
      </c>
      <c r="I421" s="18">
        <f>HYPERLINK("http://dict.youdao.com/w/"&amp;B421,"有道")</f>
        <v/>
      </c>
    </row>
    <row customHeight="1" ht="28.5" r="422">
      <c r="B422" s="1" t="inlineStr">
        <is>
          <t>cosmetic</t>
        </is>
      </c>
      <c r="C422" s="7">
        <f>"adj. 美容的；化妆用的"&amp;CHAR(10)&amp;"n. 化妆品；装饰品"</f>
        <v/>
      </c>
      <c r="G422" s="18">
        <f>HYPERLINK("D:\python\英语学习\voices\"&amp;B422&amp;"_1.mp3","BrE")</f>
        <v/>
      </c>
      <c r="H422" s="18">
        <f>HYPERLINK("D:\python\英语学习\voices\"&amp;B422&amp;"_2.mp3","AmE")</f>
        <v/>
      </c>
      <c r="I422" s="18">
        <f>HYPERLINK("http://dict.youdao.com/w/"&amp;B422,"有道")</f>
        <v/>
      </c>
    </row>
    <row r="423">
      <c r="B423" s="1" t="inlineStr">
        <is>
          <t>cosmic</t>
        </is>
      </c>
      <c r="C423" s="7">
        <f>"adj. 宇宙的（等于cosmical）"</f>
        <v/>
      </c>
      <c r="G423" s="18">
        <f>HYPERLINK("D:\python\英语学习\voices\"&amp;B423&amp;"_1.mp3","BrE")</f>
        <v/>
      </c>
      <c r="H423" s="18">
        <f>HYPERLINK("D:\python\英语学习\voices\"&amp;B423&amp;"_2.mp3","AmE")</f>
        <v/>
      </c>
      <c r="I423" s="18">
        <f>HYPERLINK("http://dict.youdao.com/w/"&amp;B423,"有道")</f>
        <v/>
      </c>
    </row>
    <row customHeight="1" ht="28.5" r="424">
      <c r="B424" s="1" t="inlineStr">
        <is>
          <t>cosy</t>
        </is>
      </c>
      <c r="C424" s="7">
        <f>"adj. 舒适的；惬意的"&amp;CHAR(10)&amp;"n. 保温罩"</f>
        <v/>
      </c>
      <c r="G424" s="18">
        <f>HYPERLINK("D:\python\英语学习\voices\"&amp;B424&amp;"_1.mp3","BrE")</f>
        <v/>
      </c>
      <c r="H424" s="18">
        <f>HYPERLINK("D:\python\英语学习\voices\"&amp;B424&amp;"_2.mp3","AmE")</f>
        <v/>
      </c>
      <c r="I424" s="18">
        <f>HYPERLINK("http://dict.youdao.com/w/"&amp;B424,"有道")</f>
        <v/>
      </c>
    </row>
    <row customHeight="1" ht="57" r="425">
      <c r="B425" s="1" t="inlineStr">
        <is>
          <t>couch</t>
        </is>
      </c>
      <c r="C425" s="7">
        <f>"n. 睡椅，长沙发；床；卧榻"&amp;CHAR(10)&amp;"vi. 蹲伏，埋伏；躺着"&amp;CHAR(10)&amp;"vt. 使躺下；表达；弯下"&amp;CHAR(10)&amp;"n. (Couch)人名；(英)库奇"</f>
        <v/>
      </c>
      <c r="G425" s="18">
        <f>HYPERLINK("D:\python\英语学习\voices\"&amp;B425&amp;"_1.mp3","BrE")</f>
        <v/>
      </c>
      <c r="H425" s="18">
        <f>HYPERLINK("D:\python\英语学习\voices\"&amp;B425&amp;"_2.mp3","AmE")</f>
        <v/>
      </c>
      <c r="I425" s="18">
        <f>HYPERLINK("http://dict.youdao.com/w/"&amp;B425,"有道")</f>
        <v/>
      </c>
    </row>
    <row r="426">
      <c r="B426" s="1" t="inlineStr">
        <is>
          <t>councilor</t>
        </is>
      </c>
      <c r="C426" s="7">
        <f>"n. 顾问；评议员；参赞"</f>
        <v/>
      </c>
      <c r="E426" s="6" t="inlineStr">
        <is>
          <t>council 委员会 会议 理事会</t>
        </is>
      </c>
      <c r="G426" s="18">
        <f>HYPERLINK("D:\python\英语学习\voices\"&amp;B426&amp;"_1.mp3","BrE")</f>
        <v/>
      </c>
      <c r="H426" s="18">
        <f>HYPERLINK("D:\python\英语学习\voices\"&amp;B426&amp;"_2.mp3","AmE")</f>
        <v/>
      </c>
      <c r="I426" s="18">
        <f>HYPERLINK("http://dict.youdao.com/w/"&amp;B426,"有道")</f>
        <v/>
      </c>
    </row>
    <row customHeight="1" ht="42.75" r="427">
      <c r="B427" s="1" t="inlineStr">
        <is>
          <t>counsel</t>
        </is>
      </c>
      <c r="C427" s="7">
        <f>"n. 法律顾问；忠告；商议；讨论；决策"&amp;CHAR(10)&amp;"vt. 建议；劝告"&amp;CHAR(10)&amp;"vi. 商讨；提出忠告"</f>
        <v/>
      </c>
      <c r="G427" s="18">
        <f>HYPERLINK("D:\python\英语学习\voices\"&amp;B427&amp;"_1.mp3","BrE")</f>
        <v/>
      </c>
      <c r="H427" s="18">
        <f>HYPERLINK("D:\python\英语学习\voices\"&amp;B427&amp;"_2.mp3","AmE")</f>
        <v/>
      </c>
      <c r="I427" s="18">
        <f>HYPERLINK("http://dict.youdao.com/w/"&amp;B427,"有道")</f>
        <v/>
      </c>
    </row>
    <row customHeight="1" ht="99.75" r="428">
      <c r="B428" s="1" t="inlineStr">
        <is>
          <t>counter</t>
        </is>
      </c>
      <c r="C428" s="7">
        <f>"n. 柜台；对立面；计数器；（某些棋盘游戏的）筹码"&amp;CHAR(10)&amp;"vt. 反击，还击；反向移动，对着干；反驳，回答"&amp;CHAR(10)&amp;"vi. 逆向移动，对着干；反驳"&amp;CHAR(10)&amp;"adj. 相反的"&amp;CHAR(10)&amp;"adv. 反方向地；背道而驰地"</f>
        <v/>
      </c>
      <c r="G428" s="18">
        <f>HYPERLINK("D:\python\英语学习\voices\"&amp;B428&amp;"_1.mp3","BrE")</f>
        <v/>
      </c>
      <c r="H428" s="18">
        <f>HYPERLINK("D:\python\英语学习\voices\"&amp;B428&amp;"_2.mp3","AmE")</f>
        <v/>
      </c>
      <c r="I428" s="18">
        <f>HYPERLINK("http://dict.youdao.com/w/"&amp;B428,"有道")</f>
        <v/>
      </c>
    </row>
    <row r="429">
      <c r="B429" s="1" t="inlineStr">
        <is>
          <t>coupon</t>
        </is>
      </c>
      <c r="C429" s="7">
        <f>"n. 息票；赠券；联票；[经] 配给券"</f>
        <v/>
      </c>
      <c r="G429" s="18">
        <f>HYPERLINK("D:\python\英语学习\voices\"&amp;B429&amp;"_1.mp3","BrE")</f>
        <v/>
      </c>
      <c r="H429" s="18">
        <f>HYPERLINK("D:\python\英语学习\voices\"&amp;B429&amp;"_2.mp3","AmE")</f>
        <v/>
      </c>
      <c r="I429" s="18">
        <f>HYPERLINK("http://dict.youdao.com/w/"&amp;B429,"有道")</f>
        <v/>
      </c>
    </row>
    <row customHeight="1" ht="28.5" r="430">
      <c r="B430" s="1" t="inlineStr">
        <is>
          <t>courier</t>
        </is>
      </c>
      <c r="C430" s="7">
        <f>"n. 导游；情报员，通讯员；送快信的人"&amp;CHAR(10)&amp;"n. (Courier)人名；(英、法)库里耶"</f>
        <v/>
      </c>
      <c r="G430" s="18">
        <f>HYPERLINK("D:\python\英语学习\voices\"&amp;B430&amp;"_1.mp3","BrE")</f>
        <v/>
      </c>
      <c r="H430" s="18">
        <f>HYPERLINK("D:\python\英语学习\voices\"&amp;B430&amp;"_2.mp3","AmE")</f>
        <v/>
      </c>
      <c r="I430" s="18">
        <f>HYPERLINK("http://dict.youdao.com/w/"&amp;B430,"有道")</f>
        <v/>
      </c>
    </row>
    <row r="431">
      <c r="A431" t="inlineStr">
        <is>
          <t>important</t>
        </is>
      </c>
      <c r="B431" s="1" t="inlineStr">
        <is>
          <t>pessimistic</t>
        </is>
      </c>
      <c r="C431" s="7">
        <f>"adj. 悲观的，厌世的；悲观主义的"</f>
        <v/>
      </c>
      <c r="G431" s="18">
        <f>HYPERLINK("D:\python\英语学习\voices\"&amp;B431&amp;"_1.mp3","BrE")</f>
        <v/>
      </c>
      <c r="H431" s="18">
        <f>HYPERLINK("D:\python\英语学习\voices\"&amp;B431&amp;"_2.mp3","AmE")</f>
        <v/>
      </c>
      <c r="I431" s="18">
        <f>HYPERLINK("http://dict.youdao.com/w/"&amp;B431,"有道")</f>
        <v/>
      </c>
    </row>
    <row customHeight="1" ht="28.5" r="432">
      <c r="B432" s="1" t="inlineStr">
        <is>
          <t>courtesy</t>
        </is>
      </c>
      <c r="C432" s="7">
        <f>"n. 礼貌；好意；恩惠"&amp;CHAR(10)&amp;"adj. 殷勤的；被承认的；出于礼节的"</f>
        <v/>
      </c>
      <c r="E432" s="6" t="inlineStr">
        <is>
          <t>注意拼写</t>
        </is>
      </c>
      <c r="G432" s="18">
        <f>HYPERLINK("D:\python\英语学习\voices\"&amp;B432&amp;"_1.mp3","BrE")</f>
        <v/>
      </c>
      <c r="H432" s="18">
        <f>HYPERLINK("D:\python\英语学习\voices\"&amp;B432&amp;"_2.mp3","AmE")</f>
        <v/>
      </c>
      <c r="I432" s="18">
        <f>HYPERLINK("http://dict.youdao.com/w/"&amp;B432,"有道")</f>
        <v/>
      </c>
    </row>
    <row customHeight="1" ht="42.75" r="433">
      <c r="B433" s="1" t="inlineStr">
        <is>
          <t>cozy</t>
        </is>
      </c>
      <c r="C433" s="7">
        <f>"n. 保温罩"&amp;CHAR(10)&amp;"vt. 蒙骗；抚慰"&amp;CHAR(10)&amp;"adj. 舒适的；安逸的"</f>
        <v/>
      </c>
      <c r="G433" s="18">
        <f>HYPERLINK("D:\python\英语学习\voices\"&amp;B433&amp;"_1.mp3","BrE")</f>
        <v/>
      </c>
      <c r="H433" s="18">
        <f>HYPERLINK("D:\python\英语学习\voices\"&amp;B433&amp;"_2.mp3","AmE")</f>
        <v/>
      </c>
      <c r="I433" s="18">
        <f>HYPERLINK("http://dict.youdao.com/w/"&amp;B433,"有道")</f>
        <v/>
      </c>
    </row>
    <row r="434">
      <c r="B434" s="1" t="inlineStr">
        <is>
          <t>crackdown</t>
        </is>
      </c>
      <c r="C434" s="7">
        <f>"n. 镇压；（美）制裁；强制取缔；惩罚"</f>
        <v/>
      </c>
      <c r="G434" s="18">
        <f>HYPERLINK("D:\python\英语学习\voices\"&amp;B434&amp;"_1.mp3","BrE")</f>
        <v/>
      </c>
      <c r="H434" s="18">
        <f>HYPERLINK("D:\python\英语学习\voices\"&amp;B434&amp;"_2.mp3","AmE")</f>
        <v/>
      </c>
      <c r="I434" s="18">
        <f>HYPERLINK("http://dict.youdao.com/w/"&amp;B434,"有道")</f>
        <v/>
      </c>
    </row>
    <row customHeight="1" ht="28.5" r="435">
      <c r="B435" s="1" t="inlineStr">
        <is>
          <t>cradle</t>
        </is>
      </c>
      <c r="C435" s="7">
        <f>"n. 摇篮；发源地；发祥地；支船架"&amp;CHAR(10)&amp;"vt. 抚育；把...搁在支架上；把...放在摇篮内"</f>
        <v/>
      </c>
      <c r="G435" s="18">
        <f>HYPERLINK("D:\python\英语学习\voices\"&amp;B435&amp;"_1.mp3","BrE")</f>
        <v/>
      </c>
      <c r="H435" s="18">
        <f>HYPERLINK("D:\python\英语学习\voices\"&amp;B435&amp;"_2.mp3","AmE")</f>
        <v/>
      </c>
      <c r="I435" s="18">
        <f>HYPERLINK("http://dict.youdao.com/w/"&amp;B435,"有道")</f>
        <v/>
      </c>
    </row>
    <row customHeight="1" ht="57" r="436">
      <c r="B436" s="1" t="inlineStr">
        <is>
          <t>cramp</t>
        </is>
      </c>
      <c r="C436" s="7">
        <f>"n. 痉挛，绞痛；[五金] 铁夹钳"&amp;CHAR(10)&amp;"vt. 束缚，限制；使…抽筋；以铁箍扣紧"&amp;CHAR(10)&amp;"adj. 狭窄的；难解的；受限制的"&amp;CHAR(10)&amp;"n. (Cramp)人名；(英)克兰普"</f>
        <v/>
      </c>
      <c r="G436" s="18">
        <f>HYPERLINK("D:\python\英语学习\voices\"&amp;B436&amp;"_1.mp3","BrE")</f>
        <v/>
      </c>
      <c r="H436" s="18">
        <f>HYPERLINK("D:\python\英语学习\voices\"&amp;B436&amp;"_2.mp3","AmE")</f>
        <v/>
      </c>
      <c r="I436" s="18">
        <f>HYPERLINK("http://dict.youdao.com/w/"&amp;B436,"有道")</f>
        <v/>
      </c>
    </row>
    <row customHeight="1" ht="57" r="437">
      <c r="B437" s="1" t="inlineStr">
        <is>
          <t>crank</t>
        </is>
      </c>
      <c r="C437" s="7">
        <f>"n. 曲柄；奇想"&amp;CHAR(10)&amp;"adj. 易怒的"&amp;CHAR(10)&amp;"vt. 装曲柄"&amp;CHAR(10)&amp;"n. (Crank)人名；(英)克兰克"</f>
        <v/>
      </c>
      <c r="G437" s="18">
        <f>HYPERLINK("D:\python\英语学习\voices\"&amp;B437&amp;"_1.mp3","BrE")</f>
        <v/>
      </c>
      <c r="H437" s="18">
        <f>HYPERLINK("D:\python\英语学习\voices\"&amp;B437&amp;"_2.mp3","AmE")</f>
        <v/>
      </c>
      <c r="I437" s="18">
        <f>HYPERLINK("http://dict.youdao.com/w/"&amp;B437,"有道")</f>
        <v/>
      </c>
    </row>
    <row customHeight="1" ht="42.75" r="438">
      <c r="B438" s="1" t="inlineStr">
        <is>
          <t>crave</t>
        </is>
      </c>
      <c r="C438" s="7">
        <f>"vt. 渴望；恳求"&amp;CHAR(10)&amp;"vi. 渴望；恳求"&amp;CHAR(10)&amp;"n. (Crave)人名；(法)克拉夫"</f>
        <v/>
      </c>
      <c r="G438" s="18">
        <f>HYPERLINK("D:\python\英语学习\voices\"&amp;B438&amp;"_1.mp3","BrE")</f>
        <v/>
      </c>
      <c r="H438" s="18">
        <f>HYPERLINK("D:\python\英语学习\voices\"&amp;B438&amp;"_2.mp3","AmE")</f>
        <v/>
      </c>
      <c r="I438" s="18">
        <f>HYPERLINK("http://dict.youdao.com/w/"&amp;B438,"有道")</f>
        <v/>
      </c>
    </row>
    <row r="439">
      <c r="B439" s="1" t="inlineStr">
        <is>
          <t>credibility</t>
        </is>
      </c>
      <c r="C439" s="7">
        <f>"n. 可信性；确实性"</f>
        <v/>
      </c>
      <c r="G439" s="18">
        <f>HYPERLINK("D:\python\英语学习\voices\"&amp;B439&amp;"_1.mp3","BrE")</f>
        <v/>
      </c>
      <c r="H439" s="18">
        <f>HYPERLINK("D:\python\英语学习\voices\"&amp;B439&amp;"_2.mp3","AmE")</f>
        <v/>
      </c>
      <c r="I439" s="18">
        <f>HYPERLINK("http://dict.youdao.com/w/"&amp;B439,"有道")</f>
        <v/>
      </c>
    </row>
    <row customHeight="1" ht="42.75" r="440">
      <c r="B440" s="1" t="inlineStr">
        <is>
          <t>creep</t>
        </is>
      </c>
      <c r="C440" s="7">
        <f>"vi. 爬行；蔓延；慢慢地移动；起鸡皮疙瘩"&amp;CHAR(10)&amp;"n. 爬行；毛骨悚然的感觉；谄媚者；非玩家控制的小兵（游戏术语）"</f>
        <v/>
      </c>
      <c r="G440" s="18">
        <f>HYPERLINK("D:\python\英语学习\voices\"&amp;B440&amp;"_1.mp3","BrE")</f>
        <v/>
      </c>
      <c r="H440" s="18">
        <f>HYPERLINK("D:\python\英语学习\voices\"&amp;B440&amp;"_2.mp3","AmE")</f>
        <v/>
      </c>
      <c r="I440" s="18">
        <f>HYPERLINK("http://dict.youdao.com/w/"&amp;B440,"有道")</f>
        <v/>
      </c>
    </row>
    <row r="441">
      <c r="B441" s="1" t="inlineStr">
        <is>
          <t>cricket</t>
        </is>
      </c>
      <c r="C441" s="7">
        <f>"n. 板球，板球运动；蟋蟀"</f>
        <v/>
      </c>
      <c r="G441" s="18">
        <f>HYPERLINK("D:\python\英语学习\voices\"&amp;B441&amp;"_1.mp3","BrE")</f>
        <v/>
      </c>
      <c r="H441" s="18">
        <f>HYPERLINK("D:\python\英语学习\voices\"&amp;B441&amp;"_2.mp3","AmE")</f>
        <v/>
      </c>
      <c r="I441" s="18">
        <f>HYPERLINK("http://dict.youdao.com/w/"&amp;B441,"有道")</f>
        <v/>
      </c>
    </row>
    <row customHeight="1" ht="42.75" r="442">
      <c r="B442" s="1" t="inlineStr">
        <is>
          <t>cripple</t>
        </is>
      </c>
      <c r="C442" s="7">
        <f>"vt. 削弱；使跛；使残废"&amp;CHAR(10)&amp;"n. 跛子；残废"&amp;CHAR(10)&amp;"adj. 跛的；残废的"</f>
        <v/>
      </c>
      <c r="G442" s="18">
        <f>HYPERLINK("D:\python\英语学习\voices\"&amp;B442&amp;"_1.mp3","BrE")</f>
        <v/>
      </c>
      <c r="H442" s="18">
        <f>HYPERLINK("D:\python\英语学习\voices\"&amp;B442&amp;"_2.mp3","AmE")</f>
        <v/>
      </c>
      <c r="I442" s="18">
        <f>HYPERLINK("http://dict.youdao.com/w/"&amp;B442,"有道")</f>
        <v/>
      </c>
    </row>
    <row customHeight="1" ht="29.1" r="443">
      <c r="B443" s="1" t="inlineStr">
        <is>
          <t>criterion</t>
        </is>
      </c>
      <c r="C443" s="7">
        <f>"n. （批评判断的）标准；准则；规范；准据"</f>
        <v/>
      </c>
      <c r="G443" s="18">
        <f>HYPERLINK("D:\python\英语学习\voices\"&amp;B443&amp;"_1.mp3","BrE")</f>
        <v/>
      </c>
      <c r="H443" s="18">
        <f>HYPERLINK("D:\python\英语学习\voices\"&amp;B443&amp;"_2.mp3","AmE")</f>
        <v/>
      </c>
      <c r="I443" s="18">
        <f>HYPERLINK("http://dict.youdao.com/w/"&amp;B443,"有道")</f>
        <v/>
      </c>
    </row>
    <row customHeight="1" ht="57" r="444">
      <c r="B444" s="1" t="inlineStr">
        <is>
          <t>crook</t>
        </is>
      </c>
      <c r="C444" s="7">
        <f>"n. 骗子，坏蛋；弯处，弯曲部分；钩状物"&amp;CHAR(10)&amp;"vt. 使弯曲；欺骗，诈骗"&amp;CHAR(10)&amp;"vi. 弯曲，成钩形"&amp;CHAR(10)&amp;"n. (Crook)人名；(英)克鲁克"</f>
        <v/>
      </c>
      <c r="G444" s="18">
        <f>HYPERLINK("D:\python\英语学习\voices\"&amp;B444&amp;"_1.mp3","BrE")</f>
        <v/>
      </c>
      <c r="H444" s="18">
        <f>HYPERLINK("D:\python\英语学习\voices\"&amp;B444&amp;"_2.mp3","AmE")</f>
        <v/>
      </c>
      <c r="I444" s="18">
        <f>HYPERLINK("http://dict.youdao.com/w/"&amp;B444,"有道")</f>
        <v/>
      </c>
    </row>
    <row customHeight="1" ht="57" r="445">
      <c r="B445" s="1" t="inlineStr">
        <is>
          <t>crouch</t>
        </is>
      </c>
      <c r="C445" s="7">
        <f>"vi. 蹲伏，蜷伏；卑躬屈膝"&amp;CHAR(10)&amp;"vt. 低头；屈膝"&amp;CHAR(10)&amp;"n. 蹲伏"&amp;CHAR(10)&amp;"n. (Crouch)人名；(英)克劳奇"</f>
        <v/>
      </c>
      <c r="G445" s="18">
        <f>HYPERLINK("D:\python\英语学习\voices\"&amp;B445&amp;"_1.mp3","BrE")</f>
        <v/>
      </c>
      <c r="H445" s="18">
        <f>HYPERLINK("D:\python\英语学习\voices\"&amp;B445&amp;"_2.mp3","AmE")</f>
        <v/>
      </c>
      <c r="I445" s="18">
        <f>HYPERLINK("http://dict.youdao.com/w/"&amp;B445,"有道")</f>
        <v/>
      </c>
    </row>
    <row customHeight="1" ht="28.5" r="446">
      <c r="B446" s="1" t="inlineStr">
        <is>
          <t>crow</t>
        </is>
      </c>
      <c r="C446" s="7">
        <f>"vi. 啼叫；报晓"&amp;CHAR(10)&amp;"n. [鸟] 乌鸦；鸡鸣；撬棍"</f>
        <v/>
      </c>
      <c r="G446" s="18">
        <f>HYPERLINK("D:\python\英语学习\voices\"&amp;B446&amp;"_1.mp3","BrE")</f>
        <v/>
      </c>
      <c r="H446" s="18">
        <f>HYPERLINK("D:\python\英语学习\voices\"&amp;B446&amp;"_2.mp3","AmE")</f>
        <v/>
      </c>
      <c r="I446" s="18">
        <f>HYPERLINK("http://dict.youdao.com/w/"&amp;B446,"有道")</f>
        <v/>
      </c>
    </row>
    <row customHeight="1" ht="57" r="447">
      <c r="B447" s="1" t="inlineStr">
        <is>
          <t>cruise</t>
        </is>
      </c>
      <c r="C447" s="7">
        <f>"vi. 巡航，巡游；漫游"&amp;CHAR(10)&amp;"vt. 巡航，巡游；漫游"&amp;CHAR(10)&amp;"n. 巡航，巡游；乘船游览"&amp;CHAR(10)&amp;"n. (Cruise)人名；(德)克鲁伊泽；(英)克鲁斯"</f>
        <v/>
      </c>
      <c r="G447" s="18">
        <f>HYPERLINK("D:\python\英语学习\voices\"&amp;B447&amp;"_1.mp3","BrE")</f>
        <v/>
      </c>
      <c r="H447" s="18">
        <f>HYPERLINK("D:\python\英语学习\voices\"&amp;B447&amp;"_2.mp3","AmE")</f>
        <v/>
      </c>
      <c r="I447" s="18">
        <f>HYPERLINK("http://dict.youdao.com/w/"&amp;B447,"有道")</f>
        <v/>
      </c>
    </row>
    <row customHeight="1" ht="42.75" r="448">
      <c r="B448" s="1" t="inlineStr">
        <is>
          <t>crunch</t>
        </is>
      </c>
      <c r="C448" s="7">
        <f>"n. 咬碎，咬碎声；扎扎地踏"&amp;CHAR(10)&amp;"vt. 压碎；嘎扎嘎扎的咬嚼；扎扎地踏过"&amp;CHAR(10)&amp;"vi. 嘎吱作响地咀嚼；嘎吱嘎吱地踏过"</f>
        <v/>
      </c>
      <c r="G448" s="18">
        <f>HYPERLINK("D:\python\英语学习\voices\"&amp;B448&amp;"_1.mp3","BrE")</f>
        <v/>
      </c>
      <c r="H448" s="18">
        <f>HYPERLINK("D:\python\英语学习\voices\"&amp;B448&amp;"_2.mp3","AmE")</f>
        <v/>
      </c>
      <c r="I448" s="18">
        <f>HYPERLINK("http://dict.youdao.com/w/"&amp;B448,"有道")</f>
        <v/>
      </c>
    </row>
    <row customHeight="1" ht="28.5" r="449">
      <c r="B449" s="1" t="inlineStr">
        <is>
          <t>cubic</t>
        </is>
      </c>
      <c r="C449" s="7">
        <f>"adj. 立方体的，立方的"&amp;CHAR(10)&amp;"n. (Cubic)人名；(罗)库比克"</f>
        <v/>
      </c>
      <c r="E449" s="6" t="inlineStr">
        <is>
          <t>cubic meter/centimeter</t>
        </is>
      </c>
      <c r="G449" s="18">
        <f>HYPERLINK("D:\python\英语学习\voices\"&amp;B449&amp;"_1.mp3","BrE")</f>
        <v/>
      </c>
      <c r="H449" s="18">
        <f>HYPERLINK("D:\python\英语学习\voices\"&amp;B449&amp;"_2.mp3","AmE")</f>
        <v/>
      </c>
      <c r="I449" s="18">
        <f>HYPERLINK("http://dict.youdao.com/w/"&amp;B449,"有道")</f>
        <v/>
      </c>
    </row>
    <row customHeight="1" ht="42.75" r="450">
      <c r="A450" t="inlineStr">
        <is>
          <t>important</t>
        </is>
      </c>
      <c r="B450" s="1" t="inlineStr">
        <is>
          <t>resolute</t>
        </is>
      </c>
      <c r="C450" s="7">
        <f>"adj. 坚决的；果断的"</f>
        <v/>
      </c>
      <c r="D450" s="6" t="inlineStr">
        <is>
          <t>resolution</t>
        </is>
      </c>
      <c r="E450" t="inlineStr">
        <is>
          <t>表示坚决、决心，用的好很好，可以替换decide、determine</t>
        </is>
      </c>
      <c r="G450" s="18">
        <f>HYPERLINK("D:\python\英语学习\voices\"&amp;B450&amp;"_1.mp3","BrE")</f>
        <v/>
      </c>
      <c r="H450" s="18">
        <f>HYPERLINK("D:\python\英语学习\voices\"&amp;B450&amp;"_2.mp3","AmE")</f>
        <v/>
      </c>
      <c r="I450" s="18">
        <f>HYPERLINK("http://dict.youdao.com/w/"&amp;B450,"有道")</f>
        <v/>
      </c>
    </row>
    <row customHeight="1" ht="28.5" r="451">
      <c r="A451" s="1" t="inlineStr">
        <is>
          <t>important</t>
        </is>
      </c>
      <c r="B451" s="1" t="inlineStr">
        <is>
          <t>sterling</t>
        </is>
      </c>
      <c r="C451" s="7">
        <f>"adj. 纯正的；英币的；纯银制的"&amp;CHAR(10)&amp;"n. 英国货币；标准纯银"&amp;CHAR(10)&amp;"n. (Sterling)人名；(德)施特林；(英、西、瑞典)斯特林"</f>
        <v/>
      </c>
      <c r="E451" s="6" t="inlineStr">
        <is>
          <t>(工作或品格) 优秀的 [正式]-very good in quality  CET6,四颗星</t>
        </is>
      </c>
      <c r="G451" s="18">
        <f>HYPERLINK("D:\python\英语学习\voices\"&amp;B451&amp;"_1.mp3","BrE")</f>
        <v/>
      </c>
      <c r="H451" s="18">
        <f>HYPERLINK("D:\python\英语学习\voices\"&amp;B451&amp;"_2.mp3","AmE")</f>
        <v/>
      </c>
      <c r="I451" s="18">
        <f>HYPERLINK("http://dict.youdao.com/w/"&amp;B451,"有道")</f>
        <v/>
      </c>
    </row>
    <row r="452">
      <c r="B452" s="1" t="inlineStr">
        <is>
          <t>culprit</t>
        </is>
      </c>
      <c r="C452" s="7">
        <f>"n. 犯人，罪犯；被控犯罪的人"</f>
        <v/>
      </c>
      <c r="G452" s="18">
        <f>HYPERLINK("D:\python\英语学习\voices\"&amp;B452&amp;"_1.mp3","BrE")</f>
        <v/>
      </c>
      <c r="H452" s="18">
        <f>HYPERLINK("D:\python\英语学习\voices\"&amp;B452&amp;"_2.mp3","AmE")</f>
        <v/>
      </c>
      <c r="I452" s="18">
        <f>HYPERLINK("http://dict.youdao.com/w/"&amp;B452,"有道")</f>
        <v/>
      </c>
    </row>
    <row r="453">
      <c r="B453" s="1" t="inlineStr">
        <is>
          <t>cultivation</t>
        </is>
      </c>
      <c r="C453" s="7">
        <f>"n. 培养；耕作；耕种；教化；文雅"</f>
        <v/>
      </c>
      <c r="G453" s="18">
        <f>HYPERLINK("D:\python\英语学习\voices\"&amp;B453&amp;"_1.mp3","BrE")</f>
        <v/>
      </c>
      <c r="H453" s="18">
        <f>HYPERLINK("D:\python\英语学习\voices\"&amp;B453&amp;"_2.mp3","AmE")</f>
        <v/>
      </c>
      <c r="I453" s="18">
        <f>HYPERLINK("http://dict.youdao.com/w/"&amp;B453,"有道")</f>
        <v/>
      </c>
    </row>
    <row r="454">
      <c r="B454" s="1" t="inlineStr">
        <is>
          <t>cumulative</t>
        </is>
      </c>
      <c r="C454" s="7">
        <f>"adj. 累积的"</f>
        <v/>
      </c>
      <c r="G454" s="18">
        <f>HYPERLINK("D:\python\英语学习\voices\"&amp;B454&amp;"_1.mp3","BrE")</f>
        <v/>
      </c>
      <c r="H454" s="18">
        <f>HYPERLINK("D:\python\英语学习\voices\"&amp;B454&amp;"_2.mp3","AmE")</f>
        <v/>
      </c>
      <c r="I454" s="18">
        <f>HYPERLINK("http://dict.youdao.com/w/"&amp;B454,"有道")</f>
        <v/>
      </c>
    </row>
    <row r="455">
      <c r="B455" s="1" t="inlineStr">
        <is>
          <t>cumulus</t>
        </is>
      </c>
      <c r="C455" s="7">
        <f>"n. [气象] 积云；堆积；堆积物"</f>
        <v/>
      </c>
      <c r="G455" s="18">
        <f>HYPERLINK("D:\python\英语学习\voices\"&amp;B455&amp;"_1.mp3","BrE")</f>
        <v/>
      </c>
      <c r="H455" s="18">
        <f>HYPERLINK("D:\python\英语学习\voices\"&amp;B455&amp;"_2.mp3","AmE")</f>
        <v/>
      </c>
      <c r="I455" s="18">
        <f>HYPERLINK("http://dict.youdao.com/w/"&amp;B455,"有道")</f>
        <v/>
      </c>
    </row>
    <row customHeight="1" ht="57" r="456">
      <c r="B456" s="1" t="inlineStr">
        <is>
          <t>curl</t>
        </is>
      </c>
      <c r="C456" s="7">
        <f>"vt. 使…卷曲；使卷起来"&amp;CHAR(10)&amp;"vi. 卷曲；盘绕"&amp;CHAR(10)&amp;"n. 卷曲；卷发；螺旋状物"&amp;CHAR(10)&amp;"n. (Curl)人名；(英)柯尔"</f>
        <v/>
      </c>
      <c r="G456" s="18">
        <f>HYPERLINK("D:\python\英语学习\voices\"&amp;B456&amp;"_1.mp3","BrE")</f>
        <v/>
      </c>
      <c r="H456" s="18">
        <f>HYPERLINK("D:\python\英语学习\voices\"&amp;B456&amp;"_2.mp3","AmE")</f>
        <v/>
      </c>
      <c r="I456" s="18">
        <f>HYPERLINK("http://dict.youdao.com/w/"&amp;B456,"有道")</f>
        <v/>
      </c>
    </row>
    <row r="457">
      <c r="B457" s="1" t="inlineStr">
        <is>
          <t>currency</t>
        </is>
      </c>
      <c r="C457" s="7">
        <f>"n. 货币；通货"</f>
        <v/>
      </c>
      <c r="G457" s="18">
        <f>HYPERLINK("D:\python\英语学习\voices\"&amp;B457&amp;"_1.mp3","BrE")</f>
        <v/>
      </c>
      <c r="H457" s="18">
        <f>HYPERLINK("D:\python\英语学习\voices\"&amp;B457&amp;"_2.mp3","AmE")</f>
        <v/>
      </c>
      <c r="I457" s="18">
        <f>HYPERLINK("http://dict.youdao.com/w/"&amp;B457,"有道")</f>
        <v/>
      </c>
    </row>
    <row r="458">
      <c r="B458" s="1" t="inlineStr">
        <is>
          <t>curtail</t>
        </is>
      </c>
      <c r="C458" s="7">
        <f>"vt. 缩减；剪短；剥夺…特权等"</f>
        <v/>
      </c>
      <c r="G458" s="18">
        <f>HYPERLINK("D:\python\英语学习\voices\"&amp;B458&amp;"_1.mp3","BrE")</f>
        <v/>
      </c>
      <c r="H458" s="18">
        <f>HYPERLINK("D:\python\英语学习\voices\"&amp;B458&amp;"_2.mp3","AmE")</f>
        <v/>
      </c>
      <c r="I458" s="18">
        <f>HYPERLINK("http://dict.youdao.com/w/"&amp;B458,"有道")</f>
        <v/>
      </c>
    </row>
    <row customHeight="1" ht="28.5" r="459">
      <c r="B459" s="1" t="inlineStr">
        <is>
          <t>customary</t>
        </is>
      </c>
      <c r="C459" s="7">
        <f>"adj. 习惯的；通常的"&amp;CHAR(10)&amp;"n. 习惯法汇编"</f>
        <v/>
      </c>
      <c r="G459" s="18">
        <f>HYPERLINK("D:\python\英语学习\voices\"&amp;B459&amp;"_1.mp3","BrE")</f>
        <v/>
      </c>
      <c r="H459" s="18">
        <f>HYPERLINK("D:\python\英语学习\voices\"&amp;B459&amp;"_2.mp3","AmE")</f>
        <v/>
      </c>
      <c r="I459" s="18">
        <f>HYPERLINK("http://dict.youdao.com/w/"&amp;B459,"有道")</f>
        <v/>
      </c>
    </row>
    <row r="460">
      <c r="B460" s="1" t="inlineStr">
        <is>
          <t>cyberspace</t>
        </is>
      </c>
      <c r="C460" s="7">
        <f>"n. （电子计算机创造的） 通讯、信息空间"</f>
        <v/>
      </c>
      <c r="G460" s="18">
        <f>HYPERLINK("D:\python\英语学习\voices\"&amp;B460&amp;"_1.mp3","BrE")</f>
        <v/>
      </c>
      <c r="H460" s="18">
        <f>HYPERLINK("D:\python\英语学习\voices\"&amp;B460&amp;"_2.mp3","AmE")</f>
        <v/>
      </c>
      <c r="I460" s="18">
        <f>HYPERLINK("http://dict.youdao.com/w/"&amp;B460,"有道")</f>
        <v/>
      </c>
    </row>
    <row r="461">
      <c r="B461" s="1" t="inlineStr">
        <is>
          <t>cyclic</t>
        </is>
      </c>
      <c r="C461" s="7">
        <f>"adj. 环的；循环的；周期的"</f>
        <v/>
      </c>
      <c r="G461" s="18">
        <f>HYPERLINK("D:\python\英语学习\voices\"&amp;B461&amp;"_1.mp3","BrE")</f>
        <v/>
      </c>
      <c r="H461" s="18">
        <f>HYPERLINK("D:\python\英语学习\voices\"&amp;B461&amp;"_2.mp3","AmE")</f>
        <v/>
      </c>
      <c r="I461" s="18">
        <f>HYPERLINK("http://dict.youdao.com/w/"&amp;B461,"有道")</f>
        <v/>
      </c>
    </row>
    <row r="462">
      <c r="B462" s="1" t="inlineStr">
        <is>
          <t>cylinder</t>
        </is>
      </c>
      <c r="C462" s="7">
        <f>"n. 圆筒；汽缸；[数] 柱面；圆柱状物"</f>
        <v/>
      </c>
      <c r="G462" s="18">
        <f>HYPERLINK("D:\python\英语学习\voices\"&amp;B462&amp;"_1.mp3","BrE")</f>
        <v/>
      </c>
      <c r="H462" s="18">
        <f>HYPERLINK("D:\python\英语学习\voices\"&amp;B462&amp;"_2.mp3","AmE")</f>
        <v/>
      </c>
      <c r="I462" s="18">
        <f>HYPERLINK("http://dict.youdao.com/w/"&amp;B462,"有道")</f>
        <v/>
      </c>
    </row>
    <row r="463">
      <c r="A463" s="1" t="inlineStr">
        <is>
          <t>unnecessary</t>
        </is>
      </c>
      <c r="B463" s="1" t="inlineStr">
        <is>
          <t>cytoplasm</t>
        </is>
      </c>
      <c r="C463" s="7">
        <f>"n. [细胞] 细胞质"</f>
        <v/>
      </c>
      <c r="E463" s="6" t="inlineStr">
        <is>
          <t>x</t>
        </is>
      </c>
      <c r="G463" s="18">
        <f>HYPERLINK("D:\python\英语学习\voices\"&amp;B463&amp;"_1.mp3","BrE")</f>
        <v/>
      </c>
      <c r="H463" s="18">
        <f>HYPERLINK("D:\python\英语学习\voices\"&amp;B463&amp;"_2.mp3","AmE")</f>
        <v/>
      </c>
      <c r="I463" s="18">
        <f>HYPERLINK("http://dict.youdao.com/w/"&amp;B463,"有道")</f>
        <v/>
      </c>
    </row>
    <row r="464">
      <c r="B464" s="1" t="inlineStr">
        <is>
          <t>cytoplasmic</t>
        </is>
      </c>
      <c r="C464" s="7">
        <f>"adj. 细胞质的"</f>
        <v/>
      </c>
      <c r="G464" s="18">
        <f>HYPERLINK("D:\python\英语学习\voices\"&amp;B464&amp;"_1.mp3","BrE")</f>
        <v/>
      </c>
      <c r="H464" s="18">
        <f>HYPERLINK("D:\python\英语学习\voices\"&amp;B464&amp;"_2.mp3","AmE")</f>
        <v/>
      </c>
      <c r="I464" s="18">
        <f>HYPERLINK("http://dict.youdao.com/w/"&amp;B464,"有道")</f>
        <v/>
      </c>
    </row>
    <row customHeight="1" ht="57" r="465">
      <c r="B465" s="1" t="inlineStr">
        <is>
          <t>dash</t>
        </is>
      </c>
      <c r="C465" s="7">
        <f>"n. 破折号；冲撞"&amp;CHAR(10)&amp;"vt. 使…破灭；猛撞；泼溅"&amp;CHAR(10)&amp;"vi. 猛冲；撞击"&amp;CHAR(10)&amp;"n. (Dash)人名；(英、印)达什；(蒙)达希"</f>
        <v/>
      </c>
      <c r="G465" s="18">
        <f>HYPERLINK("D:\python\英语学习\voices\"&amp;B465&amp;"_1.mp3","BrE")</f>
        <v/>
      </c>
      <c r="H465" s="18">
        <f>HYPERLINK("D:\python\英语学习\voices\"&amp;B465&amp;"_2.mp3","AmE")</f>
        <v/>
      </c>
      <c r="I465" s="18">
        <f>HYPERLINK("http://dict.youdao.com/w/"&amp;B465,"有道")</f>
        <v/>
      </c>
    </row>
    <row customHeight="1" ht="28.5" r="466">
      <c r="B466" s="1" t="inlineStr">
        <is>
          <t>daunt</t>
        </is>
      </c>
      <c r="C466" s="7">
        <f>"vt. 使气馁，使畏缩；威吓"&amp;CHAR(10)&amp;"n. (Daunt)人名；(英)当特"</f>
        <v/>
      </c>
      <c r="G466" s="18">
        <f>HYPERLINK("D:\python\英语学习\voices\"&amp;B466&amp;"_1.mp3","BrE")</f>
        <v/>
      </c>
      <c r="H466" s="18">
        <f>HYPERLINK("D:\python\英语学习\voices\"&amp;B466&amp;"_2.mp3","AmE")</f>
        <v/>
      </c>
      <c r="I466" s="18">
        <f>HYPERLINK("http://dict.youdao.com/w/"&amp;B466,"有道")</f>
        <v/>
      </c>
    </row>
    <row customHeight="1" ht="42.75" r="467">
      <c r="B467" s="1" t="inlineStr">
        <is>
          <t>dazzle</t>
        </is>
      </c>
      <c r="C467" s="7">
        <f>"n. 耀眼的光；灿烂"&amp;CHAR(10)&amp;"vt. 使……目眩；使……眼花"&amp;CHAR(10)&amp;"vi. 眼花缭乱；炫耀"</f>
        <v/>
      </c>
      <c r="G467" s="18">
        <f>HYPERLINK("D:\python\英语学习\voices\"&amp;B467&amp;"_1.mp3","BrE")</f>
        <v/>
      </c>
      <c r="H467" s="18">
        <f>HYPERLINK("D:\python\英语学习\voices\"&amp;B467&amp;"_2.mp3","AmE")</f>
        <v/>
      </c>
      <c r="I467" s="18">
        <f>HYPERLINK("http://dict.youdao.com/w/"&amp;B467,"有道")</f>
        <v/>
      </c>
    </row>
    <row r="468">
      <c r="B468" s="1" t="inlineStr">
        <is>
          <t>dean</t>
        </is>
      </c>
      <c r="C468" s="7">
        <f>"n. 院长；系主任；教务长；主持牧师"</f>
        <v/>
      </c>
      <c r="G468" s="18">
        <f>HYPERLINK("D:\python\英语学习\voices\"&amp;B468&amp;"_1.mp3","BrE")</f>
        <v/>
      </c>
      <c r="H468" s="18">
        <f>HYPERLINK("D:\python\英语学习\voices\"&amp;B468&amp;"_2.mp3","AmE")</f>
        <v/>
      </c>
      <c r="I468" s="18">
        <f>HYPERLINK("http://dict.youdao.com/w/"&amp;B468,"有道")</f>
        <v/>
      </c>
    </row>
    <row customHeight="1" ht="57" r="469">
      <c r="B469" s="1" t="inlineStr">
        <is>
          <t>decay</t>
        </is>
      </c>
      <c r="C469" s="7">
        <f>"vi. 衰退，[核] 衰减；腐烂，腐朽"&amp;CHAR(10)&amp;"n. 衰退，[核] 衰减；腐烂，腐朽"&amp;CHAR(10)&amp;"vt. 使腐烂，使腐败；使衰退，使衰落"&amp;CHAR(10)&amp;"n. (Decay)人名；(法)德凯"</f>
        <v/>
      </c>
      <c r="G469" s="18">
        <f>HYPERLINK("D:\python\英语学习\voices\"&amp;B469&amp;"_1.mp3","BrE")</f>
        <v/>
      </c>
      <c r="H469" s="18">
        <f>HYPERLINK("D:\python\英语学习\voices\"&amp;B469&amp;"_2.mp3","AmE")</f>
        <v/>
      </c>
      <c r="I469" s="18">
        <f>HYPERLINK("http://dict.youdao.com/w/"&amp;B469,"有道")</f>
        <v/>
      </c>
    </row>
    <row r="470">
      <c r="B470" s="1" t="inlineStr">
        <is>
          <t>deceit</t>
        </is>
      </c>
      <c r="C470" s="7">
        <f>"n. 欺骗；谎言；欺诈手段"</f>
        <v/>
      </c>
      <c r="G470" s="18">
        <f>HYPERLINK("D:\python\英语学习\voices\"&amp;B470&amp;"_1.mp3","BrE")</f>
        <v/>
      </c>
      <c r="H470" s="18">
        <f>HYPERLINK("D:\python\英语学习\voices\"&amp;B470&amp;"_2.mp3","AmE")</f>
        <v/>
      </c>
      <c r="I470" s="18">
        <f>HYPERLINK("http://dict.youdao.com/w/"&amp;B470,"有道")</f>
        <v/>
      </c>
    </row>
    <row customHeight="1" ht="28.5" r="471">
      <c r="A471" s="1" t="inlineStr">
        <is>
          <t>important</t>
        </is>
      </c>
      <c r="B471" s="1" t="inlineStr">
        <is>
          <t>sustainable</t>
        </is>
      </c>
      <c r="C471" s="7">
        <f>"adj. 可以忍受的；足可支撑的；养得起的；可持续的"</f>
        <v/>
      </c>
      <c r="G471" s="18">
        <f>HYPERLINK("D:\python\英语学习\voices\"&amp;B471&amp;"_1.mp3","BrE")</f>
        <v/>
      </c>
      <c r="H471" s="18">
        <f>HYPERLINK("D:\python\英语学习\voices\"&amp;B471&amp;"_2.mp3","AmE")</f>
        <v/>
      </c>
      <c r="I471" s="18">
        <f>HYPERLINK("http://dict.youdao.com/w/"&amp;B471,"有道")</f>
        <v/>
      </c>
    </row>
    <row customHeight="1" ht="28.5" r="472">
      <c r="B472" s="1" t="inlineStr">
        <is>
          <t>decimal</t>
        </is>
      </c>
      <c r="C472" s="7">
        <f>"adj. 小数的；十进位的"&amp;CHAR(10)&amp;"n. 小数"</f>
        <v/>
      </c>
      <c r="G472" s="18">
        <f>HYPERLINK("D:\python\英语学习\voices\"&amp;B472&amp;"_1.mp3","BrE")</f>
        <v/>
      </c>
      <c r="H472" s="18">
        <f>HYPERLINK("D:\python\英语学习\voices\"&amp;B472&amp;"_2.mp3","AmE")</f>
        <v/>
      </c>
      <c r="I472" s="18">
        <f>HYPERLINK("http://dict.youdao.com/w/"&amp;B472,"有道")</f>
        <v/>
      </c>
    </row>
    <row customHeight="1" ht="28.5" r="473">
      <c r="A473" t="inlineStr">
        <is>
          <t>important</t>
        </is>
      </c>
      <c r="B473" s="1" t="inlineStr">
        <is>
          <t>underscore</t>
        </is>
      </c>
      <c r="C473" s="7">
        <f>"vt. 强调；划线于…下"&amp;CHAR(10)&amp;"n. 底线，[计] 下划线"</f>
        <v/>
      </c>
      <c r="G473" s="18">
        <f>HYPERLINK("D:\python\英语学习\voices\"&amp;B473&amp;"_1.mp3","BrE")</f>
        <v/>
      </c>
      <c r="H473" s="18">
        <f>HYPERLINK("D:\python\英语学习\voices\"&amp;B473&amp;"_2.mp3","AmE")</f>
        <v/>
      </c>
      <c r="I473" s="18">
        <f>HYPERLINK("http://dict.youdao.com/w/"&amp;B473,"有道")</f>
        <v/>
      </c>
    </row>
    <row customHeight="1" ht="28.5" r="474">
      <c r="B474" s="1" t="inlineStr">
        <is>
          <t>decompose</t>
        </is>
      </c>
      <c r="C474" s="7">
        <f>"vt. 分解；使腐烂"&amp;CHAR(10)&amp;"vi. 分解；腐烂"</f>
        <v/>
      </c>
      <c r="G474" s="18">
        <f>HYPERLINK("D:\python\英语学习\voices\"&amp;B474&amp;"_1.mp3","BrE")</f>
        <v/>
      </c>
      <c r="H474" s="18">
        <f>HYPERLINK("D:\python\英语学习\voices\"&amp;B474&amp;"_2.mp3","AmE")</f>
        <v/>
      </c>
      <c r="I474" s="18">
        <f>HYPERLINK("http://dict.youdao.com/w/"&amp;B474,"有道")</f>
        <v/>
      </c>
    </row>
    <row customHeight="1" ht="42.75" r="475">
      <c r="B475" s="1" t="inlineStr">
        <is>
          <t>decree</t>
        </is>
      </c>
      <c r="C475" s="7">
        <f>"n. 法令；判决"&amp;CHAR(10)&amp;"vt. 命令；颁布；注定；判决"&amp;CHAR(10)&amp;"vi. 注定；发布命令"</f>
        <v/>
      </c>
      <c r="G475" s="18">
        <f>HYPERLINK("D:\python\英语学习\voices\"&amp;B475&amp;"_1.mp3","BrE")</f>
        <v/>
      </c>
      <c r="H475" s="18">
        <f>HYPERLINK("D:\python\英语学习\voices\"&amp;B475&amp;"_2.mp3","AmE")</f>
        <v/>
      </c>
      <c r="I475" s="18">
        <f>HYPERLINK("http://dict.youdao.com/w/"&amp;B475,"有道")</f>
        <v/>
      </c>
    </row>
    <row r="476">
      <c r="B476" s="1" t="inlineStr">
        <is>
          <t>dedicate</t>
        </is>
      </c>
      <c r="C476" s="7">
        <f>"vt. 致力；献身；题献"</f>
        <v/>
      </c>
      <c r="G476" s="18">
        <f>HYPERLINK("D:\python\英语学习\voices\"&amp;B476&amp;"_1.mp3","BrE")</f>
        <v/>
      </c>
      <c r="H476" s="18">
        <f>HYPERLINK("D:\python\英语学习\voices\"&amp;B476&amp;"_2.mp3","AmE")</f>
        <v/>
      </c>
      <c r="I476" s="18">
        <f>HYPERLINK("http://dict.youdao.com/w/"&amp;B476,"有道")</f>
        <v/>
      </c>
    </row>
    <row r="477">
      <c r="B477" s="1" t="inlineStr">
        <is>
          <t>deduce</t>
        </is>
      </c>
      <c r="C477" s="7">
        <f>"vt. 推论，推断；演绎出"</f>
        <v/>
      </c>
      <c r="G477" s="18">
        <f>HYPERLINK("D:\python\英语学习\voices\"&amp;B477&amp;"_1.mp3","BrE")</f>
        <v/>
      </c>
      <c r="H477" s="18">
        <f>HYPERLINK("D:\python\英语学习\voices\"&amp;B477&amp;"_2.mp3","AmE")</f>
        <v/>
      </c>
      <c r="I477" s="18">
        <f>HYPERLINK("http://dict.youdao.com/w/"&amp;B477,"有道")</f>
        <v/>
      </c>
    </row>
    <row customHeight="1" ht="42.75" r="478">
      <c r="A478" s="1" t="inlineStr">
        <is>
          <t>important</t>
        </is>
      </c>
      <c r="B478" s="1" t="inlineStr">
        <is>
          <t>deem</t>
        </is>
      </c>
      <c r="C478" s="7">
        <f>"vt. 认为，视作；相信"&amp;CHAR(10)&amp;"vi. 认为，持某种看法；作某种评价"&amp;CHAR(10)&amp;"n. (Deem)人名；(英)迪姆"</f>
        <v/>
      </c>
      <c r="F478">
        <f>"The evening was deemed a great success.
大家认为这次晚会非常成功。"&amp;CHAR(10)&amp;"She deemed it prudent not to say anything.
她认为什么都不说是明智的。"&amp;CHAR(10)&amp;"They would take any action deemed necessary.
他们会采取认为必要的任何行动。"</f>
        <v/>
      </c>
      <c r="G478" s="18">
        <f>HYPERLINK("D:\python\英语学习\voices\"&amp;B478&amp;"_1.mp3","BrE")</f>
        <v/>
      </c>
      <c r="H478" s="18">
        <f>HYPERLINK("D:\python\英语学习\voices\"&amp;B478&amp;"_2.mp3","AmE")</f>
        <v/>
      </c>
      <c r="I478" s="18">
        <f>HYPERLINK("http://dict.youdao.com/w/"&amp;B478,"有道")</f>
        <v/>
      </c>
    </row>
    <row customHeight="1" ht="28.5" r="479">
      <c r="B479" s="1" t="inlineStr">
        <is>
          <t>defective</t>
        </is>
      </c>
      <c r="C479" s="7">
        <f>"adj. 有缺陷的；不完美的"&amp;CHAR(10)&amp;"n. 有缺陷的人；不完全变化词"</f>
        <v/>
      </c>
      <c r="G479" s="18">
        <f>HYPERLINK("D:\python\英语学习\voices\"&amp;B479&amp;"_1.mp3","BrE")</f>
        <v/>
      </c>
      <c r="H479" s="18">
        <f>HYPERLINK("D:\python\英语学习\voices\"&amp;B479&amp;"_2.mp3","AmE")</f>
        <v/>
      </c>
      <c r="I479" s="18">
        <f>HYPERLINK("http://dict.youdao.com/w/"&amp;B479,"有道")</f>
        <v/>
      </c>
    </row>
    <row customHeight="1" ht="42.75" r="480">
      <c r="A480" t="inlineStr">
        <is>
          <t>important</t>
        </is>
      </c>
      <c r="B480" s="1" t="inlineStr">
        <is>
          <t>dilemma</t>
        </is>
      </c>
      <c r="C480" s="7">
        <f>"n. 困境；进退两难；两刀论法"</f>
        <v/>
      </c>
      <c r="E480" s="6" t="inlineStr">
        <is>
          <t>注意拼写</t>
        </is>
      </c>
      <c r="F480">
        <f>"Doctors are often caught in a dilemma because ..."</f>
        <v/>
      </c>
      <c r="G480" s="18">
        <f>HYPERLINK("D:\python\英语学习\voices\"&amp;B480&amp;"_1.mp3","BrE")</f>
        <v/>
      </c>
      <c r="H480" s="18">
        <f>HYPERLINK("D:\python\英语学习\voices\"&amp;B480&amp;"_2.mp3","AmE")</f>
        <v/>
      </c>
      <c r="I480" s="18">
        <f>HYPERLINK("http://dict.youdao.com/w/"&amp;B480,"有道")</f>
        <v/>
      </c>
    </row>
    <row customHeight="1" ht="42.75" r="481">
      <c r="A481" s="1" t="inlineStr">
        <is>
          <t>important</t>
        </is>
      </c>
      <c r="B481" s="1" t="inlineStr">
        <is>
          <t>shrink</t>
        </is>
      </c>
      <c r="C481" s="7">
        <f>"n. 收缩；畏缩；&lt;俚&gt;精神病学家"&amp;CHAR(10)&amp;"vt. 使缩小，使收缩"&amp;CHAR(10)&amp;"vi. 收缩；畏缩"</f>
        <v/>
      </c>
      <c r="G481" s="18">
        <f>HYPERLINK("D:\python\英语学习\voices\"&amp;B481&amp;"_1.mp3","BrE")</f>
        <v/>
      </c>
      <c r="H481" s="18">
        <f>HYPERLINK("D:\python\英语学习\voices\"&amp;B481&amp;"_2.mp3","AmE")</f>
        <v/>
      </c>
      <c r="I481" s="18">
        <f>HYPERLINK("http://dict.youdao.com/w/"&amp;B481,"有道")</f>
        <v/>
      </c>
    </row>
    <row customHeight="1" ht="28.5" r="482">
      <c r="B482" s="1" t="inlineStr">
        <is>
          <t>deflect</t>
        </is>
      </c>
      <c r="C482" s="7">
        <f>"vt. 使转向；使偏斜；使弯曲"&amp;CHAR(10)&amp;"vi. 转向；偏斜"</f>
        <v/>
      </c>
      <c r="G482" s="18">
        <f>HYPERLINK("D:\python\英语学习\voices\"&amp;B482&amp;"_1.mp3","BrE")</f>
        <v/>
      </c>
      <c r="H482" s="18">
        <f>HYPERLINK("D:\python\英语学习\voices\"&amp;B482&amp;"_2.mp3","AmE")</f>
        <v/>
      </c>
      <c r="I482" s="18">
        <f>HYPERLINK("http://dict.youdao.com/w/"&amp;B482,"有道")</f>
        <v/>
      </c>
    </row>
    <row r="483">
      <c r="B483" s="1" t="inlineStr">
        <is>
          <t>deflection</t>
        </is>
      </c>
      <c r="C483" s="7">
        <f>"n. 偏向；挠曲；偏差"</f>
        <v/>
      </c>
      <c r="G483" s="18">
        <f>HYPERLINK("D:\python\英语学习\voices\"&amp;B483&amp;"_1.mp3","BrE")</f>
        <v/>
      </c>
      <c r="H483" s="18">
        <f>HYPERLINK("D:\python\英语学习\voices\"&amp;B483&amp;"_2.mp3","AmE")</f>
        <v/>
      </c>
      <c r="I483" s="18">
        <f>HYPERLINK("http://dict.youdao.com/w/"&amp;B483,"有道")</f>
        <v/>
      </c>
    </row>
    <row r="484">
      <c r="B484" s="1" t="inlineStr">
        <is>
          <t>deforestation</t>
        </is>
      </c>
      <c r="C484" s="7">
        <f>"n. 采伐森林；森林开伐"</f>
        <v/>
      </c>
      <c r="G484" s="18">
        <f>HYPERLINK("D:\python\英语学习\voices\"&amp;B484&amp;"_1.mp3","BrE")</f>
        <v/>
      </c>
      <c r="H484" s="18">
        <f>HYPERLINK("D:\python\英语学习\voices\"&amp;B484&amp;"_2.mp3","AmE")</f>
        <v/>
      </c>
      <c r="I484" s="18">
        <f>HYPERLINK("http://dict.youdao.com/w/"&amp;B484,"有道")</f>
        <v/>
      </c>
    </row>
    <row r="485">
      <c r="B485" s="1" t="inlineStr">
        <is>
          <t>deformation</t>
        </is>
      </c>
      <c r="C485" s="7">
        <f>"n. 变形"</f>
        <v/>
      </c>
      <c r="G485" s="18">
        <f>HYPERLINK("D:\python\英语学习\voices\"&amp;B485&amp;"_1.mp3","BrE")</f>
        <v/>
      </c>
      <c r="H485" s="18">
        <f>HYPERLINK("D:\python\英语学习\voices\"&amp;B485&amp;"_2.mp3","AmE")</f>
        <v/>
      </c>
      <c r="I485" s="18">
        <f>HYPERLINK("http://dict.youdao.com/w/"&amp;B485,"有道")</f>
        <v/>
      </c>
    </row>
    <row customHeight="1" ht="42.75" r="486">
      <c r="B486" s="1" t="inlineStr">
        <is>
          <t>deformed</t>
        </is>
      </c>
      <c r="C486" s="7">
        <f>"adj. 畸形的；丑陋的；残废的"&amp;CHAR(10)&amp;"v. 使...残缺，使...变形（deform的过去式和过去分词形式）"</f>
        <v/>
      </c>
      <c r="G486" s="18">
        <f>HYPERLINK("D:\python\英语学习\voices\"&amp;B486&amp;"_1.mp3","BrE")</f>
        <v/>
      </c>
      <c r="H486" s="18">
        <f>HYPERLINK("D:\python\英语学习\voices\"&amp;B486&amp;"_2.mp3","AmE")</f>
        <v/>
      </c>
      <c r="I486" s="18">
        <f>HYPERLINK("http://dict.youdao.com/w/"&amp;B486,"有道")</f>
        <v/>
      </c>
    </row>
    <row customHeight="1" ht="28.5" r="487">
      <c r="B487" s="1" t="inlineStr">
        <is>
          <t>defunct</t>
        </is>
      </c>
      <c r="C487" s="7">
        <f>"adj. 死的；非现存的"&amp;CHAR(10)&amp;"n. 死者"</f>
        <v/>
      </c>
      <c r="G487" s="18">
        <f>HYPERLINK("D:\python\英语学习\voices\"&amp;B487&amp;"_1.mp3","BrE")</f>
        <v/>
      </c>
      <c r="H487" s="18">
        <f>HYPERLINK("D:\python\英语学习\voices\"&amp;B487&amp;"_2.mp3","AmE")</f>
        <v/>
      </c>
      <c r="I487" s="18">
        <f>HYPERLINK("http://dict.youdao.com/w/"&amp;B487,"有道")</f>
        <v/>
      </c>
    </row>
    <row customHeight="1" ht="28.5" r="488">
      <c r="B488" s="1" t="inlineStr">
        <is>
          <t>defy</t>
        </is>
      </c>
      <c r="C488" s="7">
        <f>"vt. 藐视；公然反抗；挑衅；使落空"&amp;CHAR(10)&amp;"n. 挑战；对抗"</f>
        <v/>
      </c>
      <c r="G488" s="18">
        <f>HYPERLINK("D:\python\英语学习\voices\"&amp;B488&amp;"_1.mp3","BrE")</f>
        <v/>
      </c>
      <c r="H488" s="18">
        <f>HYPERLINK("D:\python\英语学习\voices\"&amp;B488&amp;"_2.mp3","AmE")</f>
        <v/>
      </c>
      <c r="I488" s="18">
        <f>HYPERLINK("http://dict.youdao.com/w/"&amp;B488,"有道")</f>
        <v/>
      </c>
    </row>
    <row customHeight="1" ht="57" r="489">
      <c r="B489" s="1" t="inlineStr">
        <is>
          <t>degenerate</t>
        </is>
      </c>
      <c r="C489" s="7">
        <f>"vt. 使退化；恶化"&amp;CHAR(10)&amp;"vi. 退化；堕落"&amp;CHAR(10)&amp;"adj. 退化的；堕落的"&amp;CHAR(10)&amp;"n. 堕落的人"</f>
        <v/>
      </c>
      <c r="G489" s="18">
        <f>HYPERLINK("D:\python\英语学习\voices\"&amp;B489&amp;"_1.mp3","BrE")</f>
        <v/>
      </c>
      <c r="H489" s="18">
        <f>HYPERLINK("D:\python\英语学习\voices\"&amp;B489&amp;"_2.mp3","AmE")</f>
        <v/>
      </c>
      <c r="I489" s="18">
        <f>HYPERLINK("http://dict.youdao.com/w/"&amp;B489,"有道")</f>
        <v/>
      </c>
    </row>
    <row r="490">
      <c r="B490" s="1" t="inlineStr">
        <is>
          <t>degradation</t>
        </is>
      </c>
      <c r="C490" s="7">
        <f>"n. 退化；降格，降级；堕落"</f>
        <v/>
      </c>
      <c r="G490" s="18">
        <f>HYPERLINK("D:\python\英语学习\voices\"&amp;B490&amp;"_1.mp3","BrE")</f>
        <v/>
      </c>
      <c r="H490" s="18">
        <f>HYPERLINK("D:\python\英语学习\voices\"&amp;B490&amp;"_2.mp3","AmE")</f>
        <v/>
      </c>
      <c r="I490" s="18">
        <f>HYPERLINK("http://dict.youdao.com/w/"&amp;B490,"有道")</f>
        <v/>
      </c>
    </row>
    <row customHeight="1" ht="28.5" r="491">
      <c r="B491" s="1" t="inlineStr">
        <is>
          <t>deject</t>
        </is>
      </c>
      <c r="C491" s="7">
        <f>"vt. 使…沮丧；使…灰心"&amp;CHAR(10)&amp;"adj. 沮丧的；气馁的"</f>
        <v/>
      </c>
      <c r="G491" s="18">
        <f>HYPERLINK("D:\python\英语学习\voices\"&amp;B491&amp;"_1.mp3","BrE")</f>
        <v/>
      </c>
      <c r="H491" s="18">
        <f>HYPERLINK("D:\python\英语学习\voices\"&amp;B491&amp;"_2.mp3","AmE")</f>
        <v/>
      </c>
      <c r="I491" s="18">
        <f>HYPERLINK("http://dict.youdao.com/w/"&amp;B491,"有道")</f>
        <v/>
      </c>
    </row>
    <row customHeight="1" ht="28.5" r="492">
      <c r="B492" s="1" t="inlineStr">
        <is>
          <t>delegate</t>
        </is>
      </c>
      <c r="C492" s="7">
        <f>"vt. 委派…为代表"&amp;CHAR(10)&amp;"n. 代表"</f>
        <v/>
      </c>
      <c r="G492" s="18">
        <f>HYPERLINK("D:\python\英语学习\voices\"&amp;B492&amp;"_1.mp3","BrE")</f>
        <v/>
      </c>
      <c r="H492" s="18">
        <f>HYPERLINK("D:\python\英语学习\voices\"&amp;B492&amp;"_2.mp3","AmE")</f>
        <v/>
      </c>
      <c r="I492" s="18">
        <f>HYPERLINK("http://dict.youdao.com/w/"&amp;B492,"有道")</f>
        <v/>
      </c>
    </row>
    <row customHeight="1" ht="28.5" r="493">
      <c r="B493" s="1" t="inlineStr">
        <is>
          <t>deliberate</t>
        </is>
      </c>
      <c r="C493" s="7">
        <f>"adj. 故意的；深思熟虑的；从容的"&amp;CHAR(10)&amp;"vt. 仔细考虑；商议"</f>
        <v/>
      </c>
      <c r="G493" s="18">
        <f>HYPERLINK("D:\python\英语学习\voices\"&amp;B493&amp;"_1.mp3","BrE")</f>
        <v/>
      </c>
      <c r="H493" s="18">
        <f>HYPERLINK("D:\python\英语学习\voices\"&amp;B493&amp;"_2.mp3","AmE")</f>
        <v/>
      </c>
      <c r="I493" s="18">
        <f>HYPERLINK("http://dict.youdao.com/w/"&amp;B493,"有道")</f>
        <v/>
      </c>
    </row>
    <row customHeight="1" ht="28.5" r="494">
      <c r="B494" s="1" t="inlineStr">
        <is>
          <t>delicate</t>
        </is>
      </c>
      <c r="C494" s="7">
        <f>"adj. 微妙的；精美的，雅致的；柔和的；易碎的；纤弱的；清淡可口的"</f>
        <v/>
      </c>
      <c r="G494" s="18">
        <f>HYPERLINK("D:\python\英语学习\voices\"&amp;B494&amp;"_1.mp3","BrE")</f>
        <v/>
      </c>
      <c r="H494" s="18">
        <f>HYPERLINK("D:\python\英语学习\voices\"&amp;B494&amp;"_2.mp3","AmE")</f>
        <v/>
      </c>
      <c r="I494" s="18">
        <f>HYPERLINK("http://dict.youdao.com/w/"&amp;B494,"有道")</f>
        <v/>
      </c>
    </row>
    <row customHeight="1" ht="28.5" r="495">
      <c r="B495" s="1" t="inlineStr">
        <is>
          <t>delinquent</t>
        </is>
      </c>
      <c r="C495" s="7">
        <f>"adj. 有过失的；怠忽的；拖欠债务的"&amp;CHAR(10)&amp;"n. 流氓；行为不良的人；失职者"</f>
        <v/>
      </c>
      <c r="G495" s="18">
        <f>HYPERLINK("D:\python\英语学习\voices\"&amp;B495&amp;"_1.mp3","BrE")</f>
        <v/>
      </c>
      <c r="H495" s="18">
        <f>HYPERLINK("D:\python\英语学习\voices\"&amp;B495&amp;"_2.mp3","AmE")</f>
        <v/>
      </c>
      <c r="I495" s="18">
        <f>HYPERLINK("http://dict.youdao.com/w/"&amp;B495,"有道")</f>
        <v/>
      </c>
    </row>
    <row r="496">
      <c r="B496" s="1" t="inlineStr">
        <is>
          <t>dementia</t>
        </is>
      </c>
      <c r="C496" s="7">
        <f>"n. [内科] 痴呆"</f>
        <v/>
      </c>
      <c r="G496" s="18">
        <f>HYPERLINK("D:\python\英语学习\voices\"&amp;B496&amp;"_1.mp3","BrE")</f>
        <v/>
      </c>
      <c r="H496" s="18">
        <f>HYPERLINK("D:\python\英语学习\voices\"&amp;B496&amp;"_2.mp3","AmE")</f>
        <v/>
      </c>
      <c r="I496" s="18">
        <f>HYPERLINK("http://dict.youdao.com/w/"&amp;B496,"有道")</f>
        <v/>
      </c>
    </row>
    <row customHeight="1" ht="28.5" r="497">
      <c r="B497" s="1" t="inlineStr">
        <is>
          <t>demise</t>
        </is>
      </c>
      <c r="C497" s="7">
        <f>"n. 死亡，终止；转让；传位"&amp;CHAR(10)&amp;"vt. 遗赠；禅让"</f>
        <v/>
      </c>
      <c r="G497" s="18">
        <f>HYPERLINK("D:\python\英语学习\voices\"&amp;B497&amp;"_1.mp3","BrE")</f>
        <v/>
      </c>
      <c r="H497" s="18">
        <f>HYPERLINK("D:\python\英语学习\voices\"&amp;B497&amp;"_2.mp3","AmE")</f>
        <v/>
      </c>
      <c r="I497" s="18">
        <f>HYPERLINK("http://dict.youdao.com/w/"&amp;B497,"有道")</f>
        <v/>
      </c>
    </row>
    <row customHeight="1" ht="42.75" r="498">
      <c r="A498" s="1" t="inlineStr">
        <is>
          <t>important</t>
        </is>
      </c>
      <c r="B498" s="1" t="inlineStr">
        <is>
          <t>retrieve</t>
        </is>
      </c>
      <c r="C498" s="7">
        <f>"vt. [计] 检索；恢复；重新得到"&amp;CHAR(10)&amp;"vi. 找回猎物"&amp;CHAR(10)&amp;"n. [计] 检索；恢复，取回"</f>
        <v/>
      </c>
      <c r="G498" s="18">
        <f>HYPERLINK("D:\python\英语学习\voices\"&amp;B498&amp;"_1.mp3","BrE")</f>
        <v/>
      </c>
      <c r="H498" s="18">
        <f>HYPERLINK("D:\python\英语学习\voices\"&amp;B498&amp;"_2.mp3","AmE")</f>
        <v/>
      </c>
      <c r="I498" s="18">
        <f>HYPERLINK("http://dict.youdao.com/w/"&amp;B498,"有道")</f>
        <v/>
      </c>
    </row>
    <row customHeight="1" ht="28.5" r="499">
      <c r="B499" s="1" t="inlineStr">
        <is>
          <t>demonstrate</t>
        </is>
      </c>
      <c r="C499" s="7">
        <f>"vt. 证明；展示；论证"&amp;CHAR(10)&amp;"vi. 示威"</f>
        <v/>
      </c>
      <c r="G499" s="18">
        <f>HYPERLINK("D:\python\英语学习\voices\"&amp;B499&amp;"_1.mp3","BrE")</f>
        <v/>
      </c>
      <c r="H499" s="18">
        <f>HYPERLINK("D:\python\英语学习\voices\"&amp;B499&amp;"_2.mp3","AmE")</f>
        <v/>
      </c>
      <c r="I499" s="18">
        <f>HYPERLINK("http://dict.youdao.com/w/"&amp;B499,"有道")</f>
        <v/>
      </c>
    </row>
    <row r="500">
      <c r="B500" s="1" t="inlineStr">
        <is>
          <t>denial</t>
        </is>
      </c>
      <c r="C500" s="7">
        <f>"n. 否认；拒绝；节制；背弃"</f>
        <v/>
      </c>
      <c r="G500" s="18">
        <f>HYPERLINK("D:\python\英语学习\voices\"&amp;B500&amp;"_1.mp3","BrE")</f>
        <v/>
      </c>
      <c r="H500" s="18">
        <f>HYPERLINK("D:\python\英语学习\voices\"&amp;B500&amp;"_2.mp3","AmE")</f>
        <v/>
      </c>
      <c r="I500" s="18">
        <f>HYPERLINK("http://dict.youdao.com/w/"&amp;B500,"有道")</f>
        <v/>
      </c>
    </row>
    <row customHeight="1" ht="71.25" r="501">
      <c r="A501" s="1" t="inlineStr">
        <is>
          <t>important</t>
        </is>
      </c>
      <c r="B501" s="1" t="inlineStr">
        <is>
          <t>fancy</t>
        </is>
      </c>
      <c r="C501" s="7">
        <f>"n. 幻想；想象力；爱好"&amp;CHAR(10)&amp;"adj. 想象的；奇特的；昂贵的；精选的"&amp;CHAR(10)&amp;"vt. 想象；喜爱；设想；自负"&amp;CHAR(10)&amp;"vi. 幻想；想象"&amp;CHAR(10)&amp;"n. (Fancy)人名；(法)方西"</f>
        <v/>
      </c>
      <c r="E501" s="6" t="inlineStr">
        <is>
          <t>好多意思</t>
        </is>
      </c>
      <c r="G501" s="18">
        <f>HYPERLINK("D:\python\英语学习\voices\"&amp;B501&amp;"_1.mp3","BrE")</f>
        <v/>
      </c>
      <c r="H501" s="18">
        <f>HYPERLINK("D:\python\英语学习\voices\"&amp;B501&amp;"_2.mp3","AmE")</f>
        <v/>
      </c>
      <c r="I501" s="18">
        <f>HYPERLINK("http://dict.youdao.com/w/"&amp;B501,"有道")</f>
        <v/>
      </c>
    </row>
    <row r="502">
      <c r="B502" s="1" t="inlineStr">
        <is>
          <t>dense</t>
        </is>
      </c>
      <c r="C502" s="7">
        <f>"adj. 稠密的；浓厚的；愚钝的"</f>
        <v/>
      </c>
      <c r="G502" s="18">
        <f>HYPERLINK("D:\python\英语学习\voices\"&amp;B502&amp;"_1.mp3","BrE")</f>
        <v/>
      </c>
      <c r="H502" s="18">
        <f>HYPERLINK("D:\python\英语学习\voices\"&amp;B502&amp;"_2.mp3","AmE")</f>
        <v/>
      </c>
      <c r="I502" s="18">
        <f>HYPERLINK("http://dict.youdao.com/w/"&amp;B502,"有道")</f>
        <v/>
      </c>
    </row>
    <row r="503">
      <c r="B503" s="1" t="inlineStr">
        <is>
          <t>dependant</t>
        </is>
      </c>
      <c r="C503" s="7">
        <f>"n. 家眷；侍从；食客（等于dependent）"</f>
        <v/>
      </c>
      <c r="G503" s="18">
        <f>HYPERLINK("D:\python\英语学习\voices\"&amp;B503&amp;"_1.mp3","BrE")</f>
        <v/>
      </c>
      <c r="H503" s="18">
        <f>HYPERLINK("D:\python\英语学习\voices\"&amp;B503&amp;"_2.mp3","AmE")</f>
        <v/>
      </c>
      <c r="I503" s="18">
        <f>HYPERLINK("http://dict.youdao.com/w/"&amp;B503,"有道")</f>
        <v/>
      </c>
    </row>
    <row r="504">
      <c r="B504" s="1" t="inlineStr">
        <is>
          <t>deplete</t>
        </is>
      </c>
      <c r="C504" s="7">
        <f>"vt. 耗尽，用尽；使衰竭，使空虚"</f>
        <v/>
      </c>
      <c r="G504" s="18">
        <f>HYPERLINK("D:\python\英语学习\voices\"&amp;B504&amp;"_1.mp3","BrE")</f>
        <v/>
      </c>
      <c r="H504" s="18">
        <f>HYPERLINK("D:\python\英语学习\voices\"&amp;B504&amp;"_2.mp3","AmE")</f>
        <v/>
      </c>
      <c r="I504" s="18">
        <f>HYPERLINK("http://dict.youdao.com/w/"&amp;B504,"有道")</f>
        <v/>
      </c>
    </row>
    <row customHeight="1" ht="71.25" r="505">
      <c r="A505" s="1" t="inlineStr">
        <is>
          <t>important</t>
        </is>
      </c>
      <c r="B505" s="1" t="inlineStr">
        <is>
          <t>appeal</t>
        </is>
      </c>
      <c r="C505" s="7">
        <f>"vi. 呼吁，恳求；上诉；诉诸，求助；有吸引力，迎合爱好；（体育比赛中）诉诸裁判"&amp;CHAR(10)&amp;"n. 呼吁，请求；吸引力，感染力；上诉；诉诸裁判"&amp;CHAR(10)&amp;"vt. 将…上诉，对…上诉"</f>
        <v/>
      </c>
      <c r="G505" s="18">
        <f>HYPERLINK("D:\python\英语学习\voices\"&amp;B505&amp;"_1.mp3","BrE")</f>
        <v/>
      </c>
      <c r="H505" s="18">
        <f>HYPERLINK("D:\python\英语学习\voices\"&amp;B505&amp;"_2.mp3","AmE")</f>
        <v/>
      </c>
      <c r="I505" s="18">
        <f>HYPERLINK("http://dict.youdao.com/w/"&amp;B505,"有道")</f>
        <v/>
      </c>
    </row>
    <row customHeight="1" ht="42.75" r="506">
      <c r="B506" s="1" t="inlineStr">
        <is>
          <t>deposit</t>
        </is>
      </c>
      <c r="C506" s="7">
        <f>"n. 存款；押金；订金；保证金；沉淀物"&amp;CHAR(10)&amp;"vt. 使沉积；存放"&amp;CHAR(10)&amp;"vi. 沉淀"</f>
        <v/>
      </c>
      <c r="G506" s="18">
        <f>HYPERLINK("D:\python\英语学习\voices\"&amp;B506&amp;"_1.mp3","BrE")</f>
        <v/>
      </c>
      <c r="H506" s="18">
        <f>HYPERLINK("D:\python\英语学习\voices\"&amp;B506&amp;"_2.mp3","AmE")</f>
        <v/>
      </c>
      <c r="I506" s="18">
        <f>HYPERLINK("http://dict.youdao.com/w/"&amp;B506,"有道")</f>
        <v/>
      </c>
    </row>
    <row customHeight="1" ht="28.5" r="507">
      <c r="B507" s="1" t="inlineStr">
        <is>
          <t>deposition</t>
        </is>
      </c>
      <c r="C507" s="7">
        <f>"n. 沉积物；矿床；革职；[律]（在法庭上的）宣誓作证，证词"</f>
        <v/>
      </c>
      <c r="G507" s="18">
        <f>HYPERLINK("D:\python\英语学习\voices\"&amp;B507&amp;"_1.mp3","BrE")</f>
        <v/>
      </c>
      <c r="H507" s="18">
        <f>HYPERLINK("D:\python\英语学习\voices\"&amp;B507&amp;"_2.mp3","AmE")</f>
        <v/>
      </c>
      <c r="I507" s="18">
        <f>HYPERLINK("http://dict.youdao.com/w/"&amp;B507,"有道")</f>
        <v/>
      </c>
    </row>
    <row customHeight="1" ht="57" r="508">
      <c r="B508" s="1" t="inlineStr">
        <is>
          <t>depot</t>
        </is>
      </c>
      <c r="C508" s="7">
        <f>"n. 仓库；停车场；航空站"&amp;CHAR(10)&amp;"vt. 把…存放在储藏处"&amp;CHAR(10)&amp;"adj. 药性持久的"&amp;CHAR(10)&amp;"n. (Depot)人名；(刚(布))德波特"</f>
        <v/>
      </c>
      <c r="E508" s="6" t="inlineStr">
        <is>
          <t>注意发音t不发音</t>
        </is>
      </c>
      <c r="G508" s="18">
        <f>HYPERLINK("D:\python\英语学习\voices\"&amp;B508&amp;"_1.mp3","BrE")</f>
        <v/>
      </c>
      <c r="H508" s="18">
        <f>HYPERLINK("D:\python\英语学习\voices\"&amp;B508&amp;"_2.mp3","AmE")</f>
        <v/>
      </c>
      <c r="I508" s="18">
        <f>HYPERLINK("http://dict.youdao.com/w/"&amp;B508,"有道")</f>
        <v/>
      </c>
    </row>
    <row r="509">
      <c r="B509" s="1" t="inlineStr">
        <is>
          <t>deprivation</t>
        </is>
      </c>
      <c r="C509" s="7">
        <f>"n. 剥夺；损失；免职；匮乏；贫困"</f>
        <v/>
      </c>
      <c r="G509" s="18">
        <f>HYPERLINK("D:\python\英语学习\voices\"&amp;B509&amp;"_1.mp3","BrE")</f>
        <v/>
      </c>
      <c r="H509" s="18">
        <f>HYPERLINK("D:\python\英语学习\voices\"&amp;B509&amp;"_2.mp3","AmE")</f>
        <v/>
      </c>
      <c r="I509" s="18">
        <f>HYPERLINK("http://dict.youdao.com/w/"&amp;B509,"有道")</f>
        <v/>
      </c>
    </row>
    <row r="510">
      <c r="B510" s="1" t="inlineStr">
        <is>
          <t>deprive</t>
        </is>
      </c>
      <c r="C510" s="7">
        <f>"vt. 使丧失，剥夺"</f>
        <v/>
      </c>
      <c r="G510" s="18">
        <f>HYPERLINK("D:\python\英语学习\voices\"&amp;B510&amp;"_1.mp3","BrE")</f>
        <v/>
      </c>
      <c r="H510" s="18">
        <f>HYPERLINK("D:\python\英语学习\voices\"&amp;B510&amp;"_2.mp3","AmE")</f>
        <v/>
      </c>
      <c r="I510" s="18">
        <f>HYPERLINK("http://dict.youdao.com/w/"&amp;B510,"有道")</f>
        <v/>
      </c>
    </row>
    <row customHeight="1" ht="28.5" r="511">
      <c r="B511" s="1" t="inlineStr">
        <is>
          <t>deputy</t>
        </is>
      </c>
      <c r="C511" s="7">
        <f>"n. 代理人，代表"&amp;CHAR(10)&amp;"adj. 副的；代理的"</f>
        <v/>
      </c>
      <c r="G511" s="18">
        <f>HYPERLINK("D:\python\英语学习\voices\"&amp;B511&amp;"_1.mp3","BrE")</f>
        <v/>
      </c>
      <c r="H511" s="18">
        <f>HYPERLINK("D:\python\英语学习\voices\"&amp;B511&amp;"_2.mp3","AmE")</f>
        <v/>
      </c>
      <c r="I511" s="18">
        <f>HYPERLINK("http://dict.youdao.com/w/"&amp;B511,"有道")</f>
        <v/>
      </c>
    </row>
    <row r="512">
      <c r="B512" s="1" t="inlineStr">
        <is>
          <t>deregulation</t>
        </is>
      </c>
      <c r="C512" s="7">
        <f>"n. 违反规定，反常；撤消管制规定"</f>
        <v/>
      </c>
      <c r="G512" s="18">
        <f>HYPERLINK("D:\python\英语学习\voices\"&amp;B512&amp;"_1.mp3","BrE")</f>
        <v/>
      </c>
      <c r="H512" s="18">
        <f>HYPERLINK("D:\python\英语学习\voices\"&amp;B512&amp;"_2.mp3","AmE")</f>
        <v/>
      </c>
      <c r="I512" s="18">
        <f>HYPERLINK("http://dict.youdao.com/w/"&amp;B512,"有道")</f>
        <v/>
      </c>
    </row>
    <row r="513">
      <c r="B513" s="1" t="inlineStr">
        <is>
          <t>derivation</t>
        </is>
      </c>
      <c r="C513" s="7">
        <f>"n. 引出；来历；词源；派生词"</f>
        <v/>
      </c>
      <c r="G513" s="18">
        <f>HYPERLINK("D:\python\英语学习\voices\"&amp;B513&amp;"_1.mp3","BrE")</f>
        <v/>
      </c>
      <c r="H513" s="18">
        <f>HYPERLINK("D:\python\英语学习\voices\"&amp;B513&amp;"_2.mp3","AmE")</f>
        <v/>
      </c>
      <c r="I513" s="18">
        <f>HYPERLINK("http://dict.youdao.com/w/"&amp;B513,"有道")</f>
        <v/>
      </c>
    </row>
    <row customHeight="1" ht="28.5" r="514">
      <c r="B514" s="1" t="inlineStr">
        <is>
          <t>descendant</t>
        </is>
      </c>
      <c r="C514" s="7">
        <f>"adj. 下降的；祖传的"&amp;CHAR(10)&amp;"n. 后裔；子孙"</f>
        <v/>
      </c>
      <c r="G514" s="18">
        <f>HYPERLINK("D:\python\英语学习\voices\"&amp;B514&amp;"_1.mp3","BrE")</f>
        <v/>
      </c>
      <c r="H514" s="18">
        <f>HYPERLINK("D:\python\英语学习\voices\"&amp;B514&amp;"_2.mp3","AmE")</f>
        <v/>
      </c>
      <c r="I514" s="18">
        <f>HYPERLINK("http://dict.youdao.com/w/"&amp;B514,"有道")</f>
        <v/>
      </c>
    </row>
    <row customHeight="1" ht="28.5" r="515">
      <c r="B515" s="1" t="inlineStr">
        <is>
          <t>descent</t>
        </is>
      </c>
      <c r="C515" s="7">
        <f>"n. 下降；血统；袭击"&amp;CHAR(10)&amp;"vt. 除去…的气味；使…失去香味"</f>
        <v/>
      </c>
      <c r="G515" s="18">
        <f>HYPERLINK("D:\python\英语学习\voices\"&amp;B515&amp;"_1.mp3","BrE")</f>
        <v/>
      </c>
      <c r="H515" s="18">
        <f>HYPERLINK("D:\python\英语学习\voices\"&amp;B515&amp;"_2.mp3","AmE")</f>
        <v/>
      </c>
      <c r="I515" s="18">
        <f>HYPERLINK("http://dict.youdao.com/w/"&amp;B515,"有道")</f>
        <v/>
      </c>
    </row>
    <row customHeight="1" ht="28.5" r="516">
      <c r="B516" s="1" t="inlineStr">
        <is>
          <t>designate</t>
        </is>
      </c>
      <c r="C516" s="7">
        <f>"vt. 指定；指派；标出；把…定名为"&amp;CHAR(10)&amp;"adj. 指定的；选定的"</f>
        <v/>
      </c>
      <c r="G516" s="18">
        <f>HYPERLINK("D:\python\英语学习\voices\"&amp;B516&amp;"_1.mp3","BrE")</f>
        <v/>
      </c>
      <c r="H516" s="18">
        <f>HYPERLINK("D:\python\英语学习\voices\"&amp;B516&amp;"_2.mp3","AmE")</f>
        <v/>
      </c>
      <c r="I516" s="18">
        <f>HYPERLINK("http://dict.youdao.com/w/"&amp;B516,"有道")</f>
        <v/>
      </c>
    </row>
    <row r="517">
      <c r="B517" s="1" t="inlineStr">
        <is>
          <t>designation</t>
        </is>
      </c>
      <c r="C517" s="7">
        <f>"n. 指定；名称；指示；选派"</f>
        <v/>
      </c>
      <c r="G517" s="18">
        <f>HYPERLINK("D:\python\英语学习\voices\"&amp;B517&amp;"_1.mp3","BrE")</f>
        <v/>
      </c>
      <c r="H517" s="18">
        <f>HYPERLINK("D:\python\英语学习\voices\"&amp;B517&amp;"_2.mp3","AmE")</f>
        <v/>
      </c>
      <c r="I517" s="18">
        <f>HYPERLINK("http://dict.youdao.com/w/"&amp;B517,"有道")</f>
        <v/>
      </c>
    </row>
    <row customHeight="1" ht="28.5" r="518">
      <c r="B518" s="1" t="inlineStr">
        <is>
          <t>desirable</t>
        </is>
      </c>
      <c r="C518" s="7">
        <f>"adj. 令人满意的；值得要的"&amp;CHAR(10)&amp;"n. 合意的人或事物"</f>
        <v/>
      </c>
      <c r="G518" s="18">
        <f>HYPERLINK("D:\python\英语学习\voices\"&amp;B518&amp;"_1.mp3","BrE")</f>
        <v/>
      </c>
      <c r="H518" s="18">
        <f>HYPERLINK("D:\python\英语学习\voices\"&amp;B518&amp;"_2.mp3","AmE")</f>
        <v/>
      </c>
      <c r="I518" s="18">
        <f>HYPERLINK("http://dict.youdao.com/w/"&amp;B518,"有道")</f>
        <v/>
      </c>
    </row>
    <row customHeight="1" ht="28.5" r="519">
      <c r="B519" s="1" t="inlineStr">
        <is>
          <t>desolate</t>
        </is>
      </c>
      <c r="C519" s="7">
        <f>"adj. 荒凉的；无人烟的"&amp;CHAR(10)&amp;"vt. 使荒凉；使孤寂"</f>
        <v/>
      </c>
      <c r="G519" s="18">
        <f>HYPERLINK("D:\python\英语学习\voices\"&amp;B519&amp;"_1.mp3","BrE")</f>
        <v/>
      </c>
      <c r="H519" s="18">
        <f>HYPERLINK("D:\python\英语学习\voices\"&amp;B519&amp;"_2.mp3","AmE")</f>
        <v/>
      </c>
      <c r="I519" s="18">
        <f>HYPERLINK("http://dict.youdao.com/w/"&amp;B519,"有道")</f>
        <v/>
      </c>
    </row>
    <row customHeight="1" ht="28.5" r="520">
      <c r="B520" s="1" t="inlineStr">
        <is>
          <t>despair</t>
        </is>
      </c>
      <c r="C520" s="7">
        <f>"n. 绝望；令人绝望的人或事"&amp;CHAR(10)&amp;"vi. 绝望，丧失信心"</f>
        <v/>
      </c>
      <c r="E520" s="6" t="inlineStr">
        <is>
          <t>注意拼写</t>
        </is>
      </c>
      <c r="G520" s="18">
        <f>HYPERLINK("D:\python\英语学习\voices\"&amp;B520&amp;"_1.mp3","BrE")</f>
        <v/>
      </c>
      <c r="H520" s="18">
        <f>HYPERLINK("D:\python\英语学习\voices\"&amp;B520&amp;"_2.mp3","AmE")</f>
        <v/>
      </c>
      <c r="I520" s="18">
        <f>HYPERLINK("http://dict.youdao.com/w/"&amp;B520,"有道")</f>
        <v/>
      </c>
    </row>
    <row customHeight="1" ht="42.75" r="521">
      <c r="B521" s="1" t="inlineStr">
        <is>
          <t>despatch</t>
        </is>
      </c>
      <c r="C521" s="7">
        <f>"vt. 派遣；发送；匆匆吃下"&amp;CHAR(10)&amp;"vi. 匆匆离开"&amp;CHAR(10)&amp;"n. 派遣；发送（等于dispatch）"</f>
        <v/>
      </c>
      <c r="E521" s="6" t="inlineStr">
        <is>
          <t>dis也有</t>
        </is>
      </c>
      <c r="G521" s="18">
        <f>HYPERLINK("D:\python\英语学习\voices\"&amp;B521&amp;"_1.mp3","BrE")</f>
        <v/>
      </c>
      <c r="H521" s="18">
        <f>HYPERLINK("D:\python\英语学习\voices\"&amp;B521&amp;"_2.mp3","AmE")</f>
        <v/>
      </c>
      <c r="I521" s="18">
        <f>HYPERLINK("http://dict.youdao.com/w/"&amp;B521,"有道")</f>
        <v/>
      </c>
    </row>
    <row r="522">
      <c r="B522" s="1" t="inlineStr">
        <is>
          <t>despise</t>
        </is>
      </c>
      <c r="C522" s="7">
        <f>"vt. 轻视，鄙视"</f>
        <v/>
      </c>
      <c r="E522" s="6" t="inlineStr">
        <is>
          <t>注意拼写</t>
        </is>
      </c>
      <c r="G522" s="18">
        <f>HYPERLINK("D:\python\英语学习\voices\"&amp;B522&amp;"_1.mp3","BrE")</f>
        <v/>
      </c>
      <c r="H522" s="18">
        <f>HYPERLINK("D:\python\英语学习\voices\"&amp;B522&amp;"_2.mp3","AmE")</f>
        <v/>
      </c>
      <c r="I522" s="18">
        <f>HYPERLINK("http://dict.youdao.com/w/"&amp;B522,"有道")</f>
        <v/>
      </c>
    </row>
    <row r="523">
      <c r="B523" s="1" t="inlineStr">
        <is>
          <t>destructive</t>
        </is>
      </c>
      <c r="C523" s="7">
        <f>"adj. 破坏的；毁灭性的；有害的，消极的"</f>
        <v/>
      </c>
      <c r="G523" s="18">
        <f>HYPERLINK("D:\python\英语学习\voices\"&amp;B523&amp;"_1.mp3","BrE")</f>
        <v/>
      </c>
      <c r="H523" s="18">
        <f>HYPERLINK("D:\python\英语学习\voices\"&amp;B523&amp;"_2.mp3","AmE")</f>
        <v/>
      </c>
      <c r="I523" s="18">
        <f>HYPERLINK("http://dict.youdao.com/w/"&amp;B523,"有道")</f>
        <v/>
      </c>
    </row>
    <row r="524">
      <c r="B524" s="1" t="inlineStr">
        <is>
          <t>detach</t>
        </is>
      </c>
      <c r="C524" s="7">
        <f>"vt. 分离；派遣；使超然"</f>
        <v/>
      </c>
      <c r="G524" s="18">
        <f>HYPERLINK("D:\python\英语学习\voices\"&amp;B524&amp;"_1.mp3","BrE")</f>
        <v/>
      </c>
      <c r="H524" s="18">
        <f>HYPERLINK("D:\python\英语学习\voices\"&amp;B524&amp;"_2.mp3","AmE")</f>
        <v/>
      </c>
      <c r="I524" s="18">
        <f>HYPERLINK("http://dict.youdao.com/w/"&amp;B524,"有道")</f>
        <v/>
      </c>
    </row>
    <row r="525">
      <c r="B525" s="1" t="inlineStr">
        <is>
          <t>deterioration</t>
        </is>
      </c>
      <c r="C525" s="7">
        <f>"n. 恶化；退化；堕落"</f>
        <v/>
      </c>
      <c r="D525" s="16" t="inlineStr">
        <is>
          <t>rio</t>
        </is>
      </c>
      <c r="G525" s="18">
        <f>HYPERLINK("D:\python\英语学习\voices\"&amp;B525&amp;"_1.mp3","BrE")</f>
        <v/>
      </c>
      <c r="H525" s="18">
        <f>HYPERLINK("D:\python\英语学习\voices\"&amp;B525&amp;"_2.mp3","AmE")</f>
        <v/>
      </c>
      <c r="I525" s="18">
        <f>HYPERLINK("http://dict.youdao.com/w/"&amp;B525,"有道")</f>
        <v/>
      </c>
    </row>
    <row customHeight="1" ht="28.5" r="526">
      <c r="B526" s="1" t="inlineStr">
        <is>
          <t>determinant</t>
        </is>
      </c>
      <c r="C526" s="7">
        <f>"adj. 决定性的"&amp;CHAR(10)&amp;"n. 决定因素；[数] 行列式"</f>
        <v/>
      </c>
      <c r="D526" s="6" t="inlineStr">
        <is>
          <t>行列式、决定因素--方程组的解，决定因素是行列式。</t>
        </is>
      </c>
      <c r="G526" s="18">
        <f>HYPERLINK("D:\python\英语学习\voices\"&amp;B526&amp;"_1.mp3","BrE")</f>
        <v/>
      </c>
      <c r="H526" s="18">
        <f>HYPERLINK("D:\python\英语学习\voices\"&amp;B526&amp;"_2.mp3","AmE")</f>
        <v/>
      </c>
      <c r="I526" s="18">
        <f>HYPERLINK("http://dict.youdao.com/w/"&amp;B526,"有道")</f>
        <v/>
      </c>
    </row>
    <row customHeight="1" ht="28.5" r="527">
      <c r="B527" s="1" t="inlineStr">
        <is>
          <t>deviate</t>
        </is>
      </c>
      <c r="C527" s="7">
        <f>"vi. 脱离；越轨"&amp;CHAR(10)&amp;"vt. 使偏离"</f>
        <v/>
      </c>
      <c r="G527" s="18">
        <f>HYPERLINK("D:\python\英语学习\voices\"&amp;B527&amp;"_1.mp3","BrE")</f>
        <v/>
      </c>
      <c r="H527" s="18">
        <f>HYPERLINK("D:\python\英语学习\voices\"&amp;B527&amp;"_2.mp3","AmE")</f>
        <v/>
      </c>
      <c r="I527" s="18">
        <f>HYPERLINK("http://dict.youdao.com/w/"&amp;B527,"有道")</f>
        <v/>
      </c>
    </row>
    <row r="528">
      <c r="B528" s="1" t="inlineStr">
        <is>
          <t>deviation</t>
        </is>
      </c>
      <c r="C528" s="7">
        <f>"n. 偏差；误差；背离"</f>
        <v/>
      </c>
      <c r="G528" s="18">
        <f>HYPERLINK("D:\python\英语学习\voices\"&amp;B528&amp;"_1.mp3","BrE")</f>
        <v/>
      </c>
      <c r="H528" s="18">
        <f>HYPERLINK("D:\python\英语学习\voices\"&amp;B528&amp;"_2.mp3","AmE")</f>
        <v/>
      </c>
      <c r="I528" s="18">
        <f>HYPERLINK("http://dict.youdao.com/w/"&amp;B528,"有道")</f>
        <v/>
      </c>
    </row>
    <row r="529">
      <c r="B529" s="1" t="inlineStr">
        <is>
          <t>devotion</t>
        </is>
      </c>
      <c r="C529" s="7">
        <f>"n. 献身，奉献；忠诚；热爱"</f>
        <v/>
      </c>
      <c r="G529" s="18">
        <f>HYPERLINK("D:\python\英语学习\voices\"&amp;B529&amp;"_1.mp3","BrE")</f>
        <v/>
      </c>
      <c r="H529" s="18">
        <f>HYPERLINK("D:\python\英语学习\voices\"&amp;B529&amp;"_2.mp3","AmE")</f>
        <v/>
      </c>
      <c r="I529" s="18">
        <f>HYPERLINK("http://dict.youdao.com/w/"&amp;B529,"有道")</f>
        <v/>
      </c>
    </row>
    <row r="530">
      <c r="B530" s="1" t="inlineStr">
        <is>
          <t>devour</t>
        </is>
      </c>
      <c r="C530" s="7">
        <f>"v. 吞食；毁灭"</f>
        <v/>
      </c>
      <c r="G530" s="18">
        <f>HYPERLINK("D:\python\英语学习\voices\"&amp;B530&amp;"_1.mp3","BrE")</f>
        <v/>
      </c>
      <c r="H530" s="18">
        <f>HYPERLINK("D:\python\英语学习\voices\"&amp;B530&amp;"_2.mp3","AmE")</f>
        <v/>
      </c>
      <c r="I530" s="18">
        <f>HYPERLINK("http://dict.youdao.com/w/"&amp;B530,"有道")</f>
        <v/>
      </c>
    </row>
    <row customHeight="1" ht="28.5" r="531">
      <c r="B531" s="1" t="inlineStr">
        <is>
          <t>diabetic</t>
        </is>
      </c>
      <c r="C531" s="7">
        <f>"adj. 糖尿病的，患糖尿病的"&amp;CHAR(10)&amp;"n. 糖尿病患者"</f>
        <v/>
      </c>
      <c r="G531" s="18">
        <f>HYPERLINK("D:\python\英语学习\voices\"&amp;B531&amp;"_1.mp3","BrE")</f>
        <v/>
      </c>
      <c r="H531" s="18">
        <f>HYPERLINK("D:\python\英语学习\voices\"&amp;B531&amp;"_2.mp3","AmE")</f>
        <v/>
      </c>
      <c r="I531" s="18">
        <f>HYPERLINK("http://dict.youdao.com/w/"&amp;B531,"有道")</f>
        <v/>
      </c>
    </row>
    <row customHeight="1" ht="28.5" r="532">
      <c r="B532" s="1" t="inlineStr">
        <is>
          <t>dialect</t>
        </is>
      </c>
      <c r="C532" s="7">
        <f>"n. 方言，土话；同源语；行话；个人用语特征"&amp;CHAR(10)&amp;"adj. 方言的"</f>
        <v/>
      </c>
      <c r="G532" s="18">
        <f>HYPERLINK("D:\python\英语学习\voices\"&amp;B532&amp;"_1.mp3","BrE")</f>
        <v/>
      </c>
      <c r="H532" s="18">
        <f>HYPERLINK("D:\python\英语学习\voices\"&amp;B532&amp;"_2.mp3","AmE")</f>
        <v/>
      </c>
      <c r="I532" s="18">
        <f>HYPERLINK("http://dict.youdao.com/w/"&amp;B532,"有道")</f>
        <v/>
      </c>
    </row>
    <row r="533">
      <c r="B533" s="1" t="inlineStr">
        <is>
          <t>diarrhea</t>
        </is>
      </c>
      <c r="C533" s="7">
        <f>"n. 腹泻，痢疾"</f>
        <v/>
      </c>
      <c r="G533" s="18">
        <f>HYPERLINK("D:\python\英语学习\voices\"&amp;B533&amp;"_1.mp3","BrE")</f>
        <v/>
      </c>
      <c r="H533" s="18">
        <f>HYPERLINK("D:\python\英语学习\voices\"&amp;B533&amp;"_2.mp3","AmE")</f>
        <v/>
      </c>
      <c r="I533" s="18">
        <f>HYPERLINK("http://dict.youdao.com/w/"&amp;B533,"有道")</f>
        <v/>
      </c>
    </row>
    <row r="534">
      <c r="B534" s="1" t="inlineStr">
        <is>
          <t>dictator</t>
        </is>
      </c>
      <c r="C534" s="7">
        <f>"n. 独裁者；命令者"</f>
        <v/>
      </c>
      <c r="G534" s="18">
        <f>HYPERLINK("D:\python\英语学习\voices\"&amp;B534&amp;"_1.mp3","BrE")</f>
        <v/>
      </c>
      <c r="H534" s="18">
        <f>HYPERLINK("D:\python\英语学习\voices\"&amp;B534&amp;"_2.mp3","AmE")</f>
        <v/>
      </c>
      <c r="I534" s="18">
        <f>HYPERLINK("http://dict.youdao.com/w/"&amp;B534,"有道")</f>
        <v/>
      </c>
    </row>
    <row customHeight="1" ht="42.75" r="535">
      <c r="B535" s="1" t="inlineStr">
        <is>
          <t>diesel</t>
        </is>
      </c>
      <c r="C535" s="7">
        <f>"n. 柴油机；柴油；（俚）健康的身体"&amp;CHAR(10)&amp;"adj. 内燃机传动的；供内燃机用的"&amp;CHAR(10)&amp;"n. (Diesel)人名；(德)狄塞耳"</f>
        <v/>
      </c>
      <c r="G535" s="18">
        <f>HYPERLINK("D:\python\英语学习\voices\"&amp;B535&amp;"_1.mp3","BrE")</f>
        <v/>
      </c>
      <c r="H535" s="18">
        <f>HYPERLINK("D:\python\英语学习\voices\"&amp;B535&amp;"_2.mp3","AmE")</f>
        <v/>
      </c>
      <c r="I535" s="18">
        <f>HYPERLINK("http://dict.youdao.com/w/"&amp;B535,"有道")</f>
        <v/>
      </c>
    </row>
    <row customHeight="1" ht="42.75" r="536">
      <c r="A536" s="1" t="inlineStr">
        <is>
          <t>important</t>
        </is>
      </c>
      <c r="B536" s="1" t="inlineStr">
        <is>
          <t>accommodate</t>
        </is>
      </c>
      <c r="C536" s="7">
        <f>"vt. 容纳；使适应；供应；调解"&amp;CHAR(10)&amp;"vi. 适应；调解"</f>
        <v/>
      </c>
      <c r="E536" s="6" t="inlineStr">
        <is>
          <t>好多意思</t>
        </is>
      </c>
      <c r="G536" s="18">
        <f>HYPERLINK("D:\python\英语学习\voices\"&amp;B536&amp;"_1.mp3","BrE")</f>
        <v/>
      </c>
      <c r="H536" s="18">
        <f>HYPERLINK("D:\python\英语学习\voices\"&amp;B536&amp;"_2.mp3","AmE")</f>
        <v/>
      </c>
      <c r="I536" s="18">
        <f>HYPERLINK("http://dict.youdao.com/w/"&amp;B536,"有道")</f>
        <v/>
      </c>
    </row>
    <row customHeight="1" ht="28.5" r="537">
      <c r="B537" s="1" t="inlineStr">
        <is>
          <t>differential</t>
        </is>
      </c>
      <c r="C537" s="7">
        <f>"adj. 微分的；差别的；特异的"&amp;CHAR(10)&amp;"n. 微分；差别"</f>
        <v/>
      </c>
      <c r="G537" s="18">
        <f>HYPERLINK("D:\python\英语学习\voices\"&amp;B537&amp;"_1.mp3","BrE")</f>
        <v/>
      </c>
      <c r="H537" s="18">
        <f>HYPERLINK("D:\python\英语学习\voices\"&amp;B537&amp;"_2.mp3","AmE")</f>
        <v/>
      </c>
      <c r="I537" s="18">
        <f>HYPERLINK("http://dict.youdao.com/w/"&amp;B537,"有道")</f>
        <v/>
      </c>
    </row>
    <row r="538">
      <c r="A538" s="1" t="inlineStr">
        <is>
          <t>unnecessary</t>
        </is>
      </c>
      <c r="B538" s="1" t="inlineStr">
        <is>
          <t>differentiation</t>
        </is>
      </c>
      <c r="C538" s="7">
        <f>"n. 变异，[生物] 分化；区别"</f>
        <v/>
      </c>
      <c r="G538" s="18">
        <f>HYPERLINK("D:\python\英语学习\voices\"&amp;B538&amp;"_1.mp3","BrE")</f>
        <v/>
      </c>
      <c r="H538" s="18">
        <f>HYPERLINK("D:\python\英语学习\voices\"&amp;B538&amp;"_2.mp3","AmE")</f>
        <v/>
      </c>
      <c r="I538" s="18">
        <f>HYPERLINK("http://dict.youdao.com/w/"&amp;B538,"有道")</f>
        <v/>
      </c>
    </row>
    <row customHeight="1" ht="42.75" r="539">
      <c r="B539" s="1" t="inlineStr">
        <is>
          <t>diffuse</t>
        </is>
      </c>
      <c r="C539" s="7">
        <f>"adj. 弥漫的；散开的"&amp;CHAR(10)&amp;"vt. 扩散；传播；漫射"&amp;CHAR(10)&amp;"vi. 传播；四散"</f>
        <v/>
      </c>
      <c r="G539" s="18">
        <f>HYPERLINK("D:\python\英语学习\voices\"&amp;B539&amp;"_1.mp3","BrE")</f>
        <v/>
      </c>
      <c r="H539" s="18">
        <f>HYPERLINK("D:\python\英语学习\voices\"&amp;B539&amp;"_2.mp3","AmE")</f>
        <v/>
      </c>
      <c r="I539" s="18">
        <f>HYPERLINK("http://dict.youdao.com/w/"&amp;B539,"有道")</f>
        <v/>
      </c>
    </row>
    <row r="540">
      <c r="B540" s="1" t="inlineStr">
        <is>
          <t>dignity</t>
        </is>
      </c>
      <c r="C540" s="7">
        <f>"n. 尊严；高贵"</f>
        <v/>
      </c>
      <c r="G540" s="18">
        <f>HYPERLINK("D:\python\英语学习\voices\"&amp;B540&amp;"_1.mp3","BrE")</f>
        <v/>
      </c>
      <c r="H540" s="18">
        <f>HYPERLINK("D:\python\英语学习\voices\"&amp;B540&amp;"_2.mp3","AmE")</f>
        <v/>
      </c>
      <c r="I540" s="18">
        <f>HYPERLINK("http://dict.youdao.com/w/"&amp;B540,"有道")</f>
        <v/>
      </c>
    </row>
    <row customHeight="1" ht="28.5" r="541">
      <c r="A541" s="1" t="inlineStr">
        <is>
          <t>important</t>
        </is>
      </c>
      <c r="B541" s="1" t="inlineStr">
        <is>
          <t>renewable</t>
        </is>
      </c>
      <c r="C541" s="7">
        <f>"adj. 可再生的；可更新的；可继续的"&amp;CHAR(10)&amp;"n. 再生性能源"</f>
        <v/>
      </c>
      <c r="G541" s="18">
        <f>HYPERLINK("D:\python\英语学习\voices\"&amp;B541&amp;"_1.mp3","BrE")</f>
        <v/>
      </c>
      <c r="H541" s="18">
        <f>HYPERLINK("D:\python\英语学习\voices\"&amp;B541&amp;"_2.mp3","AmE")</f>
        <v/>
      </c>
      <c r="I541" s="18">
        <f>HYPERLINK("http://dict.youdao.com/w/"&amp;B541,"有道")</f>
        <v/>
      </c>
    </row>
    <row customHeight="1" ht="42.75" r="542">
      <c r="B542" s="1" t="inlineStr">
        <is>
          <t>dilute</t>
        </is>
      </c>
      <c r="C542" s="7">
        <f>"adj. 稀释的；淡的"&amp;CHAR(10)&amp;"vt. 稀释；冲淡；削弱"&amp;CHAR(10)&amp;"vi. 变稀薄；变淡"</f>
        <v/>
      </c>
      <c r="G542" s="18">
        <f>HYPERLINK("D:\python\英语学习\voices\"&amp;B542&amp;"_1.mp3","BrE")</f>
        <v/>
      </c>
      <c r="H542" s="18">
        <f>HYPERLINK("D:\python\英语学习\voices\"&amp;B542&amp;"_2.mp3","AmE")</f>
        <v/>
      </c>
      <c r="I542" s="18">
        <f>HYPERLINK("http://dict.youdao.com/w/"&amp;B542,"有道")</f>
        <v/>
      </c>
    </row>
    <row customHeight="1" ht="28.5" r="543">
      <c r="B543" s="1" t="inlineStr">
        <is>
          <t>diminish</t>
        </is>
      </c>
      <c r="C543" s="7">
        <f>"vt. 使减少；使变小"&amp;CHAR(10)&amp;"vi. 减少，缩小；变小"</f>
        <v/>
      </c>
      <c r="E543" t="inlineStr">
        <is>
          <t>注意拼写-iii</t>
        </is>
      </c>
      <c r="G543" s="18">
        <f>HYPERLINK("D:\python\英语学习\voices\"&amp;B543&amp;"_1.mp3","BrE")</f>
        <v/>
      </c>
      <c r="H543" s="18">
        <f>HYPERLINK("D:\python\英语学习\voices\"&amp;B543&amp;"_2.mp3","AmE")</f>
        <v/>
      </c>
      <c r="I543" s="18">
        <f>HYPERLINK("http://dict.youdao.com/w/"&amp;B543,"有道")</f>
        <v/>
      </c>
    </row>
    <row customHeight="1" ht="57" r="544">
      <c r="B544" s="1" t="inlineStr">
        <is>
          <t>dine</t>
        </is>
      </c>
      <c r="C544" s="7">
        <f>"vi. 进餐，用餐"&amp;CHAR(10)&amp;"vt. 宴请"&amp;CHAR(10)&amp;"n. (Dine)人名；(意、葡)迪内；(英)戴恩；(法)迪纳"</f>
        <v/>
      </c>
      <c r="G544" s="18">
        <f>HYPERLINK("D:\python\英语学习\voices\"&amp;B544&amp;"_1.mp3","BrE")</f>
        <v/>
      </c>
      <c r="H544" s="18">
        <f>HYPERLINK("D:\python\英语学习\voices\"&amp;B544&amp;"_2.mp3","AmE")</f>
        <v/>
      </c>
      <c r="I544" s="18">
        <f>HYPERLINK("http://dict.youdao.com/w/"&amp;B544,"有道")</f>
        <v/>
      </c>
    </row>
    <row r="545">
      <c r="B545" s="1" t="inlineStr">
        <is>
          <t>dioxide</t>
        </is>
      </c>
      <c r="C545" s="7">
        <f>"n. 二氧化物"</f>
        <v/>
      </c>
      <c r="G545" s="18">
        <f>HYPERLINK("D:\python\英语学习\voices\"&amp;B545&amp;"_1.mp3","BrE")</f>
        <v/>
      </c>
      <c r="H545" s="18">
        <f>HYPERLINK("D:\python\英语学习\voices\"&amp;B545&amp;"_2.mp3","AmE")</f>
        <v/>
      </c>
      <c r="I545" s="18">
        <f>HYPERLINK("http://dict.youdao.com/w/"&amp;B545,"有道")</f>
        <v/>
      </c>
    </row>
    <row customHeight="1" ht="28.5" r="546">
      <c r="B546" s="1" t="inlineStr">
        <is>
          <t>directive</t>
        </is>
      </c>
      <c r="C546" s="7">
        <f>"n. 指示；指令"&amp;CHAR(10)&amp;"adj. 指导的；管理的"</f>
        <v/>
      </c>
      <c r="G546" s="18">
        <f>HYPERLINK("D:\python\英语学习\voices\"&amp;B546&amp;"_1.mp3","BrE")</f>
        <v/>
      </c>
      <c r="H546" s="18">
        <f>HYPERLINK("D:\python\英语学习\voices\"&amp;B546&amp;"_2.mp3","AmE")</f>
        <v/>
      </c>
      <c r="I546" s="18">
        <f>HYPERLINK("http://dict.youdao.com/w/"&amp;B546,"有道")</f>
        <v/>
      </c>
    </row>
    <row customHeight="1" ht="28.5" r="547">
      <c r="B547" s="1" t="inlineStr">
        <is>
          <t>directory</t>
        </is>
      </c>
      <c r="C547" s="7">
        <f>"n. [计] 目录；工商名录；姓名地址录"&amp;CHAR(10)&amp;"adj. 指导的；咨询的"</f>
        <v/>
      </c>
      <c r="G547" s="18">
        <f>HYPERLINK("D:\python\英语学习\voices\"&amp;B547&amp;"_1.mp3","BrE")</f>
        <v/>
      </c>
      <c r="H547" s="18">
        <f>HYPERLINK("D:\python\英语学习\voices\"&amp;B547&amp;"_2.mp3","AmE")</f>
        <v/>
      </c>
      <c r="I547" s="18">
        <f>HYPERLINK("http://dict.youdao.com/w/"&amp;B547,"有道")</f>
        <v/>
      </c>
    </row>
    <row r="548">
      <c r="B548" s="1" t="inlineStr">
        <is>
          <t>disastrous</t>
        </is>
      </c>
      <c r="C548" s="7">
        <f>"adj. 灾难性的；损失惨重的；悲伤的"</f>
        <v/>
      </c>
      <c r="G548" s="18">
        <f>HYPERLINK("D:\python\英语学习\voices\"&amp;B548&amp;"_1.mp3","BrE")</f>
        <v/>
      </c>
      <c r="H548" s="18">
        <f>HYPERLINK("D:\python\英语学习\voices\"&amp;B548&amp;"_2.mp3","AmE")</f>
        <v/>
      </c>
      <c r="I548" s="18">
        <f>HYPERLINK("http://dict.youdao.com/w/"&amp;B548,"有道")</f>
        <v/>
      </c>
    </row>
    <row customHeight="1" ht="28.5" r="549">
      <c r="A549" s="1" t="inlineStr">
        <is>
          <t>important</t>
        </is>
      </c>
      <c r="B549" s="1" t="inlineStr">
        <is>
          <t>diminishing</t>
        </is>
      </c>
      <c r="C549" s="7">
        <f>"v. 减少；递减；衰减；削弱…的权势（diminish的现在分词）"&amp;CHAR(10)&amp;"adj. 逐渐缩小的；衰减的"</f>
        <v/>
      </c>
      <c r="G549" s="18">
        <f>HYPERLINK("D:\python\英语学习\voices\"&amp;B549&amp;"_1.mp3","BrE")</f>
        <v/>
      </c>
      <c r="H549" s="18">
        <f>HYPERLINK("D:\python\英语学习\voices\"&amp;B549&amp;"_2.mp3","AmE")</f>
        <v/>
      </c>
      <c r="I549" s="18">
        <f>HYPERLINK("http://dict.youdao.com/w/"&amp;B549,"有道")</f>
        <v/>
      </c>
    </row>
    <row customHeight="1" ht="42.75" r="550">
      <c r="B550" s="1" t="inlineStr">
        <is>
          <t>discharge</t>
        </is>
      </c>
      <c r="C550" s="7">
        <f>"vt. 解雇；卸下；放出；免除"&amp;CHAR(10)&amp;"vi. 排放；卸货；流出"&amp;CHAR(10)&amp;"n. 排放；卸货；解雇"</f>
        <v/>
      </c>
      <c r="G550" s="18">
        <f>HYPERLINK("D:\python\英语学习\voices\"&amp;B550&amp;"_1.mp3","BrE")</f>
        <v/>
      </c>
      <c r="H550" s="18">
        <f>HYPERLINK("D:\python\英语学习\voices\"&amp;B550&amp;"_2.mp3","AmE")</f>
        <v/>
      </c>
      <c r="I550" s="18">
        <f>HYPERLINK("http://dict.youdao.com/w/"&amp;B550,"有道")</f>
        <v/>
      </c>
    </row>
    <row r="551">
      <c r="B551" s="1" t="inlineStr">
        <is>
          <t>disclose</t>
        </is>
      </c>
      <c r="C551" s="7">
        <f>"vt. 公开；揭露"</f>
        <v/>
      </c>
      <c r="G551" s="18">
        <f>HYPERLINK("D:\python\英语学习\voices\"&amp;B551&amp;"_1.mp3","BrE")</f>
        <v/>
      </c>
      <c r="H551" s="18">
        <f>HYPERLINK("D:\python\英语学习\voices\"&amp;B551&amp;"_2.mp3","AmE")</f>
        <v/>
      </c>
      <c r="I551" s="18">
        <f>HYPERLINK("http://dict.youdao.com/w/"&amp;B551,"有道")</f>
        <v/>
      </c>
    </row>
    <row r="552">
      <c r="B552" s="1" t="inlineStr">
        <is>
          <t>discourage</t>
        </is>
      </c>
      <c r="C552" s="7">
        <f>"vt. 阻止；使气馁"</f>
        <v/>
      </c>
      <c r="E552" s="6" t="inlineStr">
        <is>
          <t>discourage smoking among teenagers</t>
        </is>
      </c>
      <c r="G552" s="18">
        <f>HYPERLINK("D:\python\英语学习\voices\"&amp;B552&amp;"_1.mp3","BrE")</f>
        <v/>
      </c>
      <c r="H552" s="18">
        <f>HYPERLINK("D:\python\英语学习\voices\"&amp;B552&amp;"_2.mp3","AmE")</f>
        <v/>
      </c>
      <c r="I552" s="18">
        <f>HYPERLINK("http://dict.youdao.com/w/"&amp;B552,"有道")</f>
        <v/>
      </c>
    </row>
    <row customHeight="1" ht="42.75" r="553">
      <c r="A553" s="1" t="inlineStr">
        <is>
          <t>important</t>
        </is>
      </c>
      <c r="B553" s="1" t="inlineStr">
        <is>
          <t>pose</t>
        </is>
      </c>
      <c r="C553" s="7">
        <f>"vt. 造成，形成；摆姿势；装模作样；提出…讨论"&amp;CHAR(10)&amp;"vi. 摆姿势；佯装；矫揉造作"&amp;CHAR(10)&amp;"n. 姿势，姿态；装模作样"</f>
        <v/>
      </c>
      <c r="E553" s="6" t="inlineStr">
        <is>
          <t>pose problem</t>
        </is>
      </c>
      <c r="G553" s="18">
        <f>HYPERLINK("D:\python\英语学习\voices\"&amp;B553&amp;"_1.mp3","BrE")</f>
        <v/>
      </c>
      <c r="H553" s="18">
        <f>HYPERLINK("D:\python\英语学习\voices\"&amp;B553&amp;"_2.mp3","AmE")</f>
        <v/>
      </c>
      <c r="I553" s="18">
        <f>HYPERLINK("http://dict.youdao.com/w/"&amp;B553,"有道")</f>
        <v/>
      </c>
    </row>
    <row r="554">
      <c r="B554" s="1" t="inlineStr">
        <is>
          <t>discreet</t>
        </is>
      </c>
      <c r="C554" s="7">
        <f>"adj. 谨慎的；小心的"</f>
        <v/>
      </c>
      <c r="G554" s="18">
        <f>HYPERLINK("D:\python\英语学习\voices\"&amp;B554&amp;"_1.mp3","BrE")</f>
        <v/>
      </c>
      <c r="H554" s="18">
        <f>HYPERLINK("D:\python\英语学习\voices\"&amp;B554&amp;"_2.mp3","AmE")</f>
        <v/>
      </c>
      <c r="I554" s="18">
        <f>HYPERLINK("http://dict.youdao.com/w/"&amp;B554,"有道")</f>
        <v/>
      </c>
    </row>
    <row r="555">
      <c r="B555" s="1" t="inlineStr">
        <is>
          <t>discrepance</t>
        </is>
      </c>
      <c r="C555" s="7">
        <f>"n. 不一致；分歧；偏差"</f>
        <v/>
      </c>
      <c r="G555" s="18">
        <f>HYPERLINK("D:\python\英语学习\voices\"&amp;B555&amp;"_1.mp3","BrE")</f>
        <v/>
      </c>
      <c r="H555" s="18">
        <f>HYPERLINK("D:\python\英语学习\voices\"&amp;B555&amp;"_2.mp3","AmE")</f>
        <v/>
      </c>
      <c r="I555" s="18">
        <f>HYPERLINK("http://dict.youdao.com/w/"&amp;B555,"有道")</f>
        <v/>
      </c>
    </row>
    <row customHeight="1" ht="71.25" r="556">
      <c r="A556" t="inlineStr">
        <is>
          <t>important</t>
        </is>
      </c>
      <c r="B556" s="1" t="inlineStr">
        <is>
          <t>grant</t>
        </is>
      </c>
      <c r="C556" s="7">
        <f>"vt. 授予；允许；承认"&amp;CHAR(10)&amp;"vi. 同意"&amp;CHAR(10)&amp;"n. 拨款；[法] 授予物"&amp;CHAR(10)&amp;"n. (Grant)人名；(瑞典、葡、西、俄、罗、英、塞、德、意)格兰特；(法)格朗"</f>
        <v/>
      </c>
      <c r="E556" s="16" t="inlineStr">
        <is>
          <t>授予奖学金</t>
        </is>
      </c>
      <c r="G556" s="18">
        <f>HYPERLINK("D:\python\英语学习\voices\"&amp;B556&amp;"_1.mp3","BrE")</f>
        <v/>
      </c>
      <c r="H556" s="18">
        <f>HYPERLINK("D:\python\英语学习\voices\"&amp;B556&amp;"_2.mp3","AmE")</f>
        <v/>
      </c>
      <c r="I556" s="18">
        <f>HYPERLINK("http://dict.youdao.com/w/"&amp;B556,"有道")</f>
        <v/>
      </c>
    </row>
    <row r="557">
      <c r="B557" s="1" t="inlineStr">
        <is>
          <t>discrepant</t>
        </is>
      </c>
      <c r="C557" s="7">
        <f>"adj. 有差异的；相差的；矛盾的"</f>
        <v/>
      </c>
      <c r="G557" s="18">
        <f>HYPERLINK("D:\python\英语学习\voices\"&amp;B557&amp;"_1.mp3","BrE")</f>
        <v/>
      </c>
      <c r="H557" s="18">
        <f>HYPERLINK("D:\python\英语学习\voices\"&amp;B557&amp;"_2.mp3","AmE")</f>
        <v/>
      </c>
      <c r="I557" s="18">
        <f>HYPERLINK("http://dict.youdao.com/w/"&amp;B557,"有道")</f>
        <v/>
      </c>
    </row>
    <row r="558">
      <c r="A558" t="inlineStr">
        <is>
          <t>important</t>
        </is>
      </c>
      <c r="B558" s="1" t="inlineStr">
        <is>
          <t>extent</t>
        </is>
      </c>
      <c r="C558" s="7">
        <f>"n. 程度；范围；长度"</f>
        <v/>
      </c>
      <c r="E558" t="inlineStr">
        <is>
          <t>to a further extent更进一步
to some/an extent一定程度上
to a large extent很大程度上</t>
        </is>
      </c>
      <c r="G558" s="18">
        <f>HYPERLINK("D:\python\英语学习\voices\"&amp;B558&amp;"_1.mp3","BrE")</f>
        <v/>
      </c>
      <c r="H558" s="18">
        <f>HYPERLINK("D:\python\英语学习\voices\"&amp;B558&amp;"_2.mp3","AmE")</f>
        <v/>
      </c>
      <c r="I558" s="18">
        <f>HYPERLINK("http://dict.youdao.com/w/"&amp;B558,"有道")</f>
        <v/>
      </c>
    </row>
    <row customHeight="1" ht="28.5" r="559">
      <c r="B559" s="1" t="inlineStr">
        <is>
          <t>discriminate</t>
        </is>
      </c>
      <c r="C559" s="7">
        <f>"vt. 歧视；区别；辨别"&amp;CHAR(10)&amp;"vi. 区别；辨别"</f>
        <v/>
      </c>
      <c r="G559" s="18">
        <f>HYPERLINK("D:\python\英语学习\voices\"&amp;B559&amp;"_1.mp3","BrE")</f>
        <v/>
      </c>
      <c r="H559" s="18">
        <f>HYPERLINK("D:\python\英语学习\voices\"&amp;B559&amp;"_2.mp3","AmE")</f>
        <v/>
      </c>
      <c r="I559" s="18">
        <f>HYPERLINK("http://dict.youdao.com/w/"&amp;B559,"有道")</f>
        <v/>
      </c>
    </row>
    <row r="560">
      <c r="B560" s="1" t="inlineStr">
        <is>
          <t>discrimination</t>
        </is>
      </c>
      <c r="C560" s="7">
        <f>"n. 歧视；区别，辨别；识别力"</f>
        <v/>
      </c>
      <c r="G560" s="18">
        <f>HYPERLINK("D:\python\英语学习\voices\"&amp;B560&amp;"_1.mp3","BrE")</f>
        <v/>
      </c>
      <c r="H560" s="18">
        <f>HYPERLINK("D:\python\英语学习\voices\"&amp;B560&amp;"_2.mp3","AmE")</f>
        <v/>
      </c>
      <c r="I560" s="18">
        <f>HYPERLINK("http://dict.youdao.com/w/"&amp;B560,"有道")</f>
        <v/>
      </c>
    </row>
    <row customHeight="1" ht="42.75" r="561">
      <c r="B561" s="1" t="inlineStr">
        <is>
          <t>disgrace</t>
        </is>
      </c>
      <c r="C561" s="7">
        <f>"n. 耻辱；丢脸的人或事；失宠"&amp;CHAR(10)&amp;"vt. 使……失宠；给……丢脸；使……蒙受耻辱；贬黜"</f>
        <v/>
      </c>
      <c r="G561" s="18">
        <f>HYPERLINK("D:\python\英语学习\voices\"&amp;B561&amp;"_1.mp3","BrE")</f>
        <v/>
      </c>
      <c r="H561" s="18">
        <f>HYPERLINK("D:\python\英语学习\voices\"&amp;B561&amp;"_2.mp3","AmE")</f>
        <v/>
      </c>
      <c r="I561" s="18">
        <f>HYPERLINK("http://dict.youdao.com/w/"&amp;B561,"有道")</f>
        <v/>
      </c>
    </row>
    <row customHeight="1" ht="28.5" r="562">
      <c r="B562" s="1" t="inlineStr">
        <is>
          <t>disillusion</t>
        </is>
      </c>
      <c r="C562" s="7">
        <f>"vt. 使醒悟；使不再抱幻想"&amp;CHAR(10)&amp;"n. 幻灭；醒悟"</f>
        <v/>
      </c>
      <c r="E562" s="6" t="inlineStr">
        <is>
          <t>vt.使梦想破灭</t>
        </is>
      </c>
      <c r="G562" s="18">
        <f>HYPERLINK("D:\python\英语学习\voices\"&amp;B562&amp;"_1.mp3","BrE")</f>
        <v/>
      </c>
      <c r="H562" s="18">
        <f>HYPERLINK("D:\python\英语学习\voices\"&amp;B562&amp;"_2.mp3","AmE")</f>
        <v/>
      </c>
      <c r="I562" s="18">
        <f>HYPERLINK("http://dict.youdao.com/w/"&amp;B562,"有道")</f>
        <v/>
      </c>
    </row>
    <row customHeight="1" ht="28.5" r="563">
      <c r="B563" s="1" t="inlineStr">
        <is>
          <t>dismay</t>
        </is>
      </c>
      <c r="C563" s="7">
        <f>"n. 沮丧，灰心；惊慌"&amp;CHAR(10)&amp;"vt. 使沮丧；使惊慌"</f>
        <v/>
      </c>
      <c r="G563" s="18">
        <f>HYPERLINK("D:\python\英语学习\voices\"&amp;B563&amp;"_1.mp3","BrE")</f>
        <v/>
      </c>
      <c r="H563" s="18">
        <f>HYPERLINK("D:\python\英语学习\voices\"&amp;B563&amp;"_2.mp3","AmE")</f>
        <v/>
      </c>
      <c r="I563" s="18">
        <f>HYPERLINK("http://dict.youdao.com/w/"&amp;B563,"有道")</f>
        <v/>
      </c>
    </row>
    <row customHeight="1" ht="42.75" r="564">
      <c r="B564" s="1" t="inlineStr">
        <is>
          <t>dismiss</t>
        </is>
      </c>
      <c r="C564" s="7">
        <f>"vt. 解散；解雇；开除；让...离开；不予理会、不予考虑"&amp;CHAR(10)&amp;"vi. 解散"</f>
        <v/>
      </c>
      <c r="E564" s="6" t="inlineStr">
        <is>
          <t>you are dismissed你被炒了</t>
        </is>
      </c>
      <c r="G564" s="18">
        <f>HYPERLINK("D:\python\英语学习\voices\"&amp;B564&amp;"_1.mp3","BrE")</f>
        <v/>
      </c>
      <c r="H564" s="18">
        <f>HYPERLINK("D:\python\英语学习\voices\"&amp;B564&amp;"_2.mp3","AmE")</f>
        <v/>
      </c>
      <c r="I564" s="18">
        <f>HYPERLINK("http://dict.youdao.com/w/"&amp;B564,"有道")</f>
        <v/>
      </c>
    </row>
    <row r="565">
      <c r="B565" s="1" t="inlineStr">
        <is>
          <t>dismissal</t>
        </is>
      </c>
      <c r="C565" s="7">
        <f>"n. 解雇；免职"</f>
        <v/>
      </c>
      <c r="G565" s="18">
        <f>HYPERLINK("D:\python\英语学习\voices\"&amp;B565&amp;"_1.mp3","BrE")</f>
        <v/>
      </c>
      <c r="H565" s="18">
        <f>HYPERLINK("D:\python\英语学习\voices\"&amp;B565&amp;"_2.mp3","AmE")</f>
        <v/>
      </c>
      <c r="I565" s="18">
        <f>HYPERLINK("http://dict.youdao.com/w/"&amp;B565,"有道")</f>
        <v/>
      </c>
    </row>
    <row customHeight="1" ht="28.5" r="566">
      <c r="B566" s="1" t="inlineStr">
        <is>
          <t>disparate</t>
        </is>
      </c>
      <c r="C566" s="7">
        <f>"adj. 不同的；不相干的；全异的"&amp;CHAR(10)&amp;"n. 无法相比的东西"</f>
        <v/>
      </c>
      <c r="D566" s="7" t="inlineStr">
        <is>
          <t>注意拼写
disparity不同</t>
        </is>
      </c>
      <c r="G566" s="18">
        <f>HYPERLINK("D:\python\英语学习\voices\"&amp;B566&amp;"_1.mp3","BrE")</f>
        <v/>
      </c>
      <c r="H566" s="18">
        <f>HYPERLINK("D:\python\英语学习\voices\"&amp;B566&amp;"_2.mp3","AmE")</f>
        <v/>
      </c>
      <c r="I566" s="18">
        <f>HYPERLINK("http://dict.youdao.com/w/"&amp;B566,"有道")</f>
        <v/>
      </c>
    </row>
    <row customHeight="1" ht="28.5" r="567">
      <c r="A567" s="1" t="inlineStr">
        <is>
          <t>important</t>
        </is>
      </c>
      <c r="B567" s="1" t="inlineStr">
        <is>
          <t>prerequisite</t>
        </is>
      </c>
      <c r="C567" s="7">
        <f>"n. 先决条件"&amp;CHAR(10)&amp;"adj. 首要必备的"</f>
        <v/>
      </c>
      <c r="G567" s="18">
        <f>HYPERLINK("D:\python\英语学习\voices\"&amp;B567&amp;"_1.mp3","BrE")</f>
        <v/>
      </c>
      <c r="H567" s="18">
        <f>HYPERLINK("D:\python\英语学习\voices\"&amp;B567&amp;"_2.mp3","AmE")</f>
        <v/>
      </c>
      <c r="I567" s="18">
        <f>HYPERLINK("http://dict.youdao.com/w/"&amp;B567,"有道")</f>
        <v/>
      </c>
    </row>
    <row customHeight="1" ht="28.5" r="568">
      <c r="B568" s="1" t="inlineStr">
        <is>
          <t>dispatch</t>
        </is>
      </c>
      <c r="C568" s="7">
        <f>"n. 派遣；急件"&amp;CHAR(10)&amp;"vt. 派遣；分派"</f>
        <v/>
      </c>
      <c r="G568" s="18">
        <f>HYPERLINK("D:\python\英语学习\voices\"&amp;B568&amp;"_1.mp3","BrE")</f>
        <v/>
      </c>
      <c r="H568" s="18">
        <f>HYPERLINK("D:\python\英语学习\voices\"&amp;B568&amp;"_2.mp3","AmE")</f>
        <v/>
      </c>
      <c r="I568" s="18">
        <f>HYPERLINK("http://dict.youdao.com/w/"&amp;B568,"有道")</f>
        <v/>
      </c>
    </row>
    <row customHeight="1" ht="28.5" r="569">
      <c r="B569" s="1" t="inlineStr">
        <is>
          <t>dispense</t>
        </is>
      </c>
      <c r="C569" s="7">
        <f>"vt. 分配，分发；免除；执行"&amp;CHAR(10)&amp;"vi. 免除，豁免"</f>
        <v/>
      </c>
      <c r="G569" s="18">
        <f>HYPERLINK("D:\python\英语学习\voices\"&amp;B569&amp;"_1.mp3","BrE")</f>
        <v/>
      </c>
      <c r="H569" s="18">
        <f>HYPERLINK("D:\python\英语学习\voices\"&amp;B569&amp;"_2.mp3","AmE")</f>
        <v/>
      </c>
      <c r="I569" s="18">
        <f>HYPERLINK("http://dict.youdao.com/w/"&amp;B569,"有道")</f>
        <v/>
      </c>
    </row>
    <row customHeight="1" ht="42.75" r="570">
      <c r="B570" s="1" t="inlineStr">
        <is>
          <t>disperse</t>
        </is>
      </c>
      <c r="C570" s="7">
        <f>"vt. 分散；使散开；传播"&amp;CHAR(10)&amp;"vi. 分散"&amp;CHAR(10)&amp;"adj. 分散的"</f>
        <v/>
      </c>
      <c r="G570" s="18">
        <f>HYPERLINK("D:\python\英语学习\voices\"&amp;B570&amp;"_1.mp3","BrE")</f>
        <v/>
      </c>
      <c r="H570" s="18">
        <f>HYPERLINK("D:\python\英语学习\voices\"&amp;B570&amp;"_2.mp3","AmE")</f>
        <v/>
      </c>
      <c r="I570" s="18">
        <f>HYPERLINK("http://dict.youdao.com/w/"&amp;B570,"有道")</f>
        <v/>
      </c>
    </row>
    <row r="571">
      <c r="B571" s="1" t="inlineStr">
        <is>
          <t>displacement</t>
        </is>
      </c>
      <c r="C571" s="7">
        <f>"n. 取代，位移；[船] 排水量"</f>
        <v/>
      </c>
      <c r="G571" s="18">
        <f>HYPERLINK("D:\python\英语学习\voices\"&amp;B571&amp;"_1.mp3","BrE")</f>
        <v/>
      </c>
      <c r="H571" s="18">
        <f>HYPERLINK("D:\python\英语学习\voices\"&amp;B571&amp;"_2.mp3","AmE")</f>
        <v/>
      </c>
      <c r="I571" s="18">
        <f>HYPERLINK("http://dict.youdao.com/w/"&amp;B571,"有道")</f>
        <v/>
      </c>
    </row>
    <row r="572">
      <c r="B572" s="1" t="inlineStr">
        <is>
          <t>disposal</t>
        </is>
      </c>
      <c r="C572" s="7">
        <f>"n. 处理；支配；清理；安排"</f>
        <v/>
      </c>
      <c r="G572" s="18">
        <f>HYPERLINK("D:\python\英语学习\voices\"&amp;B572&amp;"_1.mp3","BrE")</f>
        <v/>
      </c>
      <c r="H572" s="18">
        <f>HYPERLINK("D:\python\英语学习\voices\"&amp;B572&amp;"_2.mp3","AmE")</f>
        <v/>
      </c>
      <c r="I572" s="18">
        <f>HYPERLINK("http://dict.youdao.com/w/"&amp;B572,"有道")</f>
        <v/>
      </c>
    </row>
    <row customHeight="1" ht="42.75" r="573">
      <c r="B573" s="1" t="inlineStr">
        <is>
          <t>dispose</t>
        </is>
      </c>
      <c r="C573" s="7">
        <f>"vt. 处理；处置；安排"&amp;CHAR(10)&amp;"vi. 处理；安排；（能够）决定"&amp;CHAR(10)&amp;"n. 处置；性情"</f>
        <v/>
      </c>
      <c r="E573" s="6" t="inlineStr">
        <is>
          <t>好多意思</t>
        </is>
      </c>
      <c r="G573" s="18">
        <f>HYPERLINK("D:\python\英语学习\voices\"&amp;B573&amp;"_1.mp3","BrE")</f>
        <v/>
      </c>
      <c r="H573" s="18">
        <f>HYPERLINK("D:\python\英语学习\voices\"&amp;B573&amp;"_2.mp3","AmE")</f>
        <v/>
      </c>
      <c r="I573" s="18">
        <f>HYPERLINK("http://dict.youdao.com/w/"&amp;B573,"有道")</f>
        <v/>
      </c>
    </row>
    <row r="574">
      <c r="B574" s="1" t="inlineStr">
        <is>
          <t>disposition</t>
        </is>
      </c>
      <c r="C574" s="7">
        <f>"n. 处置；[心理] 性情；[军] 部署；倾向"</f>
        <v/>
      </c>
      <c r="G574" s="18">
        <f>HYPERLINK("D:\python\英语学习\voices\"&amp;B574&amp;"_1.mp3","BrE")</f>
        <v/>
      </c>
      <c r="H574" s="18">
        <f>HYPERLINK("D:\python\英语学习\voices\"&amp;B574&amp;"_2.mp3","AmE")</f>
        <v/>
      </c>
      <c r="I574" s="18">
        <f>HYPERLINK("http://dict.youdao.com/w/"&amp;B574,"有道")</f>
        <v/>
      </c>
    </row>
    <row customHeight="1" ht="42.75" r="575">
      <c r="B575" s="1" t="inlineStr">
        <is>
          <t>dispute</t>
        </is>
      </c>
      <c r="C575" s="7">
        <f>"vt. 辩论；怀疑；阻止；抗拒"&amp;CHAR(10)&amp;"vi. 争论"&amp;CHAR(10)&amp;"n. 辩论；争吵"</f>
        <v/>
      </c>
      <c r="G575" s="18">
        <f>HYPERLINK("D:\python\英语学习\voices\"&amp;B575&amp;"_1.mp3","BrE")</f>
        <v/>
      </c>
      <c r="H575" s="18">
        <f>HYPERLINK("D:\python\英语学习\voices\"&amp;B575&amp;"_2.mp3","AmE")</f>
        <v/>
      </c>
      <c r="I575" s="18">
        <f>HYPERLINK("http://dict.youdao.com/w/"&amp;B575,"有道")</f>
        <v/>
      </c>
    </row>
    <row customHeight="1" ht="28.5" r="576">
      <c r="A576" s="1" t="inlineStr">
        <is>
          <t>important</t>
        </is>
      </c>
      <c r="B576" s="1" t="inlineStr">
        <is>
          <t>foolproof</t>
        </is>
      </c>
      <c r="C576" s="7">
        <f>"adj. 十分简单的；十分安全的；不会错的；万无一失的"&amp;CHAR(10)&amp;"n. 极简单；安全自锁装置"</f>
        <v/>
      </c>
      <c r="G576" s="18">
        <f>HYPERLINK("D:\python\英语学习\voices\"&amp;B576&amp;"_1.mp3","BrE")</f>
        <v/>
      </c>
      <c r="H576" s="18">
        <f>HYPERLINK("D:\python\英语学习\voices\"&amp;B576&amp;"_2.mp3","AmE")</f>
        <v/>
      </c>
      <c r="I576" s="18">
        <f>HYPERLINK("http://dict.youdao.com/w/"&amp;B576,"有道")</f>
        <v/>
      </c>
    </row>
    <row r="577">
      <c r="B577" s="1" t="inlineStr">
        <is>
          <t>disruption</t>
        </is>
      </c>
      <c r="C577" s="7">
        <f>"n. 破坏，毁坏；分裂，瓦解"</f>
        <v/>
      </c>
      <c r="G577" s="18">
        <f>HYPERLINK("D:\python\英语学习\voices\"&amp;B577&amp;"_1.mp3","BrE")</f>
        <v/>
      </c>
      <c r="H577" s="18">
        <f>HYPERLINK("D:\python\英语学习\voices\"&amp;B577&amp;"_2.mp3","AmE")</f>
        <v/>
      </c>
      <c r="I577" s="18">
        <f>HYPERLINK("http://dict.youdao.com/w/"&amp;B577,"有道")</f>
        <v/>
      </c>
    </row>
    <row r="578">
      <c r="B578" s="1" t="inlineStr">
        <is>
          <t>disruptive</t>
        </is>
      </c>
      <c r="C578" s="7">
        <f>"adj. 破坏的；分裂性的；制造混乱的"</f>
        <v/>
      </c>
      <c r="G578" s="18">
        <f>HYPERLINK("D:\python\英语学习\voices\"&amp;B578&amp;"_1.mp3","BrE")</f>
        <v/>
      </c>
      <c r="H578" s="18">
        <f>HYPERLINK("D:\python\英语学习\voices\"&amp;B578&amp;"_2.mp3","AmE")</f>
        <v/>
      </c>
      <c r="I578" s="18">
        <f>HYPERLINK("http://dict.youdao.com/w/"&amp;B578,"有道")</f>
        <v/>
      </c>
    </row>
    <row customHeight="1" ht="28.5" r="579">
      <c r="B579" s="1" t="inlineStr">
        <is>
          <t>disseminate</t>
        </is>
      </c>
      <c r="C579" s="7">
        <f>"vt. 宣传，传播；散布"&amp;CHAR(10)&amp;"vi. 散布；广为传播"</f>
        <v/>
      </c>
      <c r="G579" s="18">
        <f>HYPERLINK("D:\python\英语学习\voices\"&amp;B579&amp;"_1.mp3","BrE")</f>
        <v/>
      </c>
      <c r="H579" s="18">
        <f>HYPERLINK("D:\python\英语学习\voices\"&amp;B579&amp;"_2.mp3","AmE")</f>
        <v/>
      </c>
      <c r="I579" s="18">
        <f>HYPERLINK("http://dict.youdao.com/w/"&amp;B579,"有道")</f>
        <v/>
      </c>
    </row>
    <row r="580">
      <c r="B580" s="1" t="inlineStr">
        <is>
          <t>dissertation</t>
        </is>
      </c>
      <c r="C580" s="7">
        <f>"n. 论文，专题；学术演讲"</f>
        <v/>
      </c>
      <c r="G580" s="18">
        <f>HYPERLINK("D:\python\英语学习\voices\"&amp;B580&amp;"_1.mp3","BrE")</f>
        <v/>
      </c>
      <c r="H580" s="18">
        <f>HYPERLINK("D:\python\英语学习\voices\"&amp;B580&amp;"_2.mp3","AmE")</f>
        <v/>
      </c>
      <c r="I580" s="18">
        <f>HYPERLINK("http://dict.youdao.com/w/"&amp;B580,"有道")</f>
        <v/>
      </c>
    </row>
    <row customHeight="1" ht="28.5" r="581">
      <c r="B581" s="1" t="inlineStr">
        <is>
          <t>dissipate</t>
        </is>
      </c>
      <c r="C581" s="7">
        <f>"vt. 浪费；使…消散"&amp;CHAR(10)&amp;"vi. 驱散；放荡"</f>
        <v/>
      </c>
      <c r="E581" t="inlineStr">
        <is>
          <t>云消雾散</t>
        </is>
      </c>
      <c r="G581" s="18">
        <f>HYPERLINK("D:\python\英语学习\voices\"&amp;B581&amp;"_1.mp3","BrE")</f>
        <v/>
      </c>
      <c r="H581" s="18">
        <f>HYPERLINK("D:\python\英语学习\voices\"&amp;B581&amp;"_2.mp3","AmE")</f>
        <v/>
      </c>
      <c r="I581" s="18">
        <f>HYPERLINK("http://dict.youdao.com/w/"&amp;B581,"有道")</f>
        <v/>
      </c>
    </row>
    <row customHeight="1" ht="28.5" r="582">
      <c r="B582" s="1" t="inlineStr">
        <is>
          <t>distill</t>
        </is>
      </c>
      <c r="C582" s="7">
        <f>"vt. 提取；蒸馏；使滴下"&amp;CHAR(10)&amp;"vi. 蒸馏；滴下；作为精华产生（等于distil）"</f>
        <v/>
      </c>
      <c r="G582" s="18">
        <f>HYPERLINK("D:\python\英语学习\voices\"&amp;B582&amp;"_1.mp3","BrE")</f>
        <v/>
      </c>
      <c r="H582" s="18">
        <f>HYPERLINK("D:\python\英语学习\voices\"&amp;B582&amp;"_2.mp3","AmE")</f>
        <v/>
      </c>
      <c r="I582" s="18">
        <f>HYPERLINK("http://dict.youdao.com/w/"&amp;B582,"有道")</f>
        <v/>
      </c>
    </row>
    <row r="583">
      <c r="B583" s="1" t="inlineStr">
        <is>
          <t>distinctly</t>
        </is>
      </c>
      <c r="C583" s="7">
        <f>"adv. 明显地；无疑地，确实地"</f>
        <v/>
      </c>
      <c r="G583" s="18">
        <f>HYPERLINK("D:\python\英语学习\voices\"&amp;B583&amp;"_1.mp3","BrE")</f>
        <v/>
      </c>
      <c r="H583" s="18">
        <f>HYPERLINK("D:\python\英语学习\voices\"&amp;B583&amp;"_2.mp3","AmE")</f>
        <v/>
      </c>
      <c r="I583" s="18">
        <f>HYPERLINK("http://dict.youdao.com/w/"&amp;B583,"有道")</f>
        <v/>
      </c>
    </row>
    <row customHeight="1" ht="28.5" r="584">
      <c r="B584" s="1" t="inlineStr">
        <is>
          <t>distinguish</t>
        </is>
      </c>
      <c r="C584" s="7">
        <f>"vt. 区分；辨别；使杰出，使表现突出"&amp;CHAR(10)&amp;"vi. 区别，区分；辨别"</f>
        <v/>
      </c>
      <c r="G584" s="18">
        <f>HYPERLINK("D:\python\英语学习\voices\"&amp;B584&amp;"_1.mp3","BrE")</f>
        <v/>
      </c>
      <c r="H584" s="18">
        <f>HYPERLINK("D:\python\英语学习\voices\"&amp;B584&amp;"_2.mp3","AmE")</f>
        <v/>
      </c>
      <c r="I584" s="18">
        <f>HYPERLINK("http://dict.youdao.com/w/"&amp;B584,"有道")</f>
        <v/>
      </c>
    </row>
    <row customHeight="1" ht="28.5" r="585">
      <c r="B585" s="1" t="inlineStr">
        <is>
          <t>distinguished</t>
        </is>
      </c>
      <c r="C585" s="7">
        <f>"adj. 著名的；卓著的；高贵的"&amp;CHAR(10)&amp;"v. 区别（distinguish的过去式）"</f>
        <v/>
      </c>
      <c r="E585" s="6" t="inlineStr">
        <is>
          <t>这里有点引申义了，注意</t>
        </is>
      </c>
      <c r="G585" s="18">
        <f>HYPERLINK("D:\python\英语学习\voices\"&amp;B585&amp;"_1.mp3","BrE")</f>
        <v/>
      </c>
      <c r="H585" s="18">
        <f>HYPERLINK("D:\python\英语学习\voices\"&amp;B585&amp;"_2.mp3","AmE")</f>
        <v/>
      </c>
      <c r="I585" s="18">
        <f>HYPERLINK("http://dict.youdao.com/w/"&amp;B585,"有道")</f>
        <v/>
      </c>
    </row>
    <row customHeight="1" ht="28.5" r="586">
      <c r="B586" s="1" t="inlineStr">
        <is>
          <t>distort</t>
        </is>
      </c>
      <c r="C586" s="7">
        <f>"vt. 扭曲；使失真；曲解"&amp;CHAR(10)&amp;"vi. 扭曲；变形"</f>
        <v/>
      </c>
      <c r="G586" s="18">
        <f>HYPERLINK("D:\python\英语学习\voices\"&amp;B586&amp;"_1.mp3","BrE")</f>
        <v/>
      </c>
      <c r="H586" s="18">
        <f>HYPERLINK("D:\python\英语学习\voices\"&amp;B586&amp;"_2.mp3","AmE")</f>
        <v/>
      </c>
      <c r="I586" s="18">
        <f>HYPERLINK("http://dict.youdao.com/w/"&amp;B586,"有道")</f>
        <v/>
      </c>
    </row>
    <row customHeight="1" ht="28.5" r="587">
      <c r="B587" s="1" t="inlineStr">
        <is>
          <t>distress</t>
        </is>
      </c>
      <c r="C587" s="7">
        <f>"n. 危难，不幸；贫困；悲痛"&amp;CHAR(10)&amp;"vt. 使悲痛；使贫困"</f>
        <v/>
      </c>
      <c r="G587" s="18">
        <f>HYPERLINK("D:\python\英语学习\voices\"&amp;B587&amp;"_1.mp3","BrE")</f>
        <v/>
      </c>
      <c r="H587" s="18">
        <f>HYPERLINK("D:\python\英语学习\voices\"&amp;B587&amp;"_2.mp3","AmE")</f>
        <v/>
      </c>
      <c r="I587" s="18">
        <f>HYPERLINK("http://dict.youdao.com/w/"&amp;B587,"有道")</f>
        <v/>
      </c>
    </row>
    <row r="588">
      <c r="B588" s="1" t="inlineStr">
        <is>
          <t>distribute</t>
        </is>
      </c>
      <c r="C588" s="7">
        <f>"vt. 分配；散布；分开；把…分类"</f>
        <v/>
      </c>
      <c r="G588" s="18">
        <f>HYPERLINK("D:\python\英语学习\voices\"&amp;B588&amp;"_1.mp3","BrE")</f>
        <v/>
      </c>
      <c r="H588" s="18">
        <f>HYPERLINK("D:\python\英语学习\voices\"&amp;B588&amp;"_2.mp3","AmE")</f>
        <v/>
      </c>
      <c r="I588" s="18">
        <f>HYPERLINK("http://dict.youdao.com/w/"&amp;B588,"有道")</f>
        <v/>
      </c>
    </row>
    <row r="589">
      <c r="B589" s="1" t="inlineStr">
        <is>
          <t>disturbance</t>
        </is>
      </c>
      <c r="C589" s="7">
        <f>"n. 干扰；骚乱；忧虑"</f>
        <v/>
      </c>
      <c r="G589" s="18">
        <f>HYPERLINK("D:\python\英语学习\voices\"&amp;B589&amp;"_1.mp3","BrE")</f>
        <v/>
      </c>
      <c r="H589" s="18">
        <f>HYPERLINK("D:\python\英语学习\voices\"&amp;B589&amp;"_2.mp3","AmE")</f>
        <v/>
      </c>
      <c r="I589" s="18">
        <f>HYPERLINK("http://dict.youdao.com/w/"&amp;B589,"有道")</f>
        <v/>
      </c>
    </row>
    <row customHeight="1" ht="42.75" r="590">
      <c r="B590" s="1" t="inlineStr">
        <is>
          <t>ditch</t>
        </is>
      </c>
      <c r="C590" s="7">
        <f>"vt. 在…上掘沟；把…开入沟里；丢弃"&amp;CHAR(10)&amp;"vi. 开沟；掘沟"&amp;CHAR(10)&amp;"n. 沟渠；壕沟"</f>
        <v/>
      </c>
      <c r="G590" s="18">
        <f>HYPERLINK("D:\python\英语学习\voices\"&amp;B590&amp;"_1.mp3","BrE")</f>
        <v/>
      </c>
      <c r="H590" s="18">
        <f>HYPERLINK("D:\python\英语学习\voices\"&amp;B590&amp;"_2.mp3","AmE")</f>
        <v/>
      </c>
      <c r="I590" s="18">
        <f>HYPERLINK("http://dict.youdao.com/w/"&amp;B590,"有道")</f>
        <v/>
      </c>
    </row>
    <row customHeight="1" ht="28.5" r="591">
      <c r="A591" s="1" t="inlineStr">
        <is>
          <t>important</t>
        </is>
      </c>
      <c r="B591" s="1" t="inlineStr">
        <is>
          <t>empower</t>
        </is>
      </c>
      <c r="C591" s="7">
        <f>"vt. 授权，允许；使能够"</f>
        <v/>
      </c>
      <c r="G591" s="18">
        <f>HYPERLINK("D:\python\英语学习\voices\"&amp;B591&amp;"_1.mp3","BrE")</f>
        <v/>
      </c>
      <c r="H591" s="18">
        <f>HYPERLINK("D:\python\英语学习\voices\"&amp;B591&amp;"_2.mp3","AmE")</f>
        <v/>
      </c>
      <c r="I591" s="18">
        <f>HYPERLINK("http://dict.youdao.com/w/"&amp;B591,"有道")</f>
        <v/>
      </c>
    </row>
    <row r="592">
      <c r="B592" s="1" t="inlineStr">
        <is>
          <t>diversion</t>
        </is>
      </c>
      <c r="C592" s="7">
        <f>"n. 转移；消遣；分散注意力"</f>
        <v/>
      </c>
      <c r="G592" s="18">
        <f>HYPERLINK("D:\python\英语学习\voices\"&amp;B592&amp;"_1.mp3","BrE")</f>
        <v/>
      </c>
      <c r="H592" s="18">
        <f>HYPERLINK("D:\python\英语学习\voices\"&amp;B592&amp;"_2.mp3","AmE")</f>
        <v/>
      </c>
      <c r="I592" s="18">
        <f>HYPERLINK("http://dict.youdao.com/w/"&amp;B592,"有道")</f>
        <v/>
      </c>
    </row>
    <row customHeight="1" ht="42.75" r="593">
      <c r="B593" s="1" t="inlineStr">
        <is>
          <t>divert</t>
        </is>
      </c>
      <c r="C593" s="7">
        <f>"vt. 转移；使…欢娱；使…转向"&amp;CHAR(10)&amp;"vi. 转移"&amp;CHAR(10)&amp;"n. (Divert)人名；(法)迪韦尔"</f>
        <v/>
      </c>
      <c r="G593" s="18">
        <f>HYPERLINK("D:\python\英语学习\voices\"&amp;B593&amp;"_1.mp3","BrE")</f>
        <v/>
      </c>
      <c r="H593" s="18">
        <f>HYPERLINK("D:\python\英语学习\voices\"&amp;B593&amp;"_2.mp3","AmE")</f>
        <v/>
      </c>
      <c r="I593" s="18">
        <f>HYPERLINK("http://dict.youdao.com/w/"&amp;B593,"有道")</f>
        <v/>
      </c>
    </row>
    <row customHeight="1" ht="71.25" r="594">
      <c r="B594" s="1" t="inlineStr">
        <is>
          <t>divine</t>
        </is>
      </c>
      <c r="C594" s="7">
        <f>"adj. 神圣的；非凡的；天赐的；极好的"&amp;CHAR(10)&amp;"vt. 占卜；预言；用占卜勘探"&amp;CHAR(10)&amp;"vi. 占卜；预言；使用占卜勘探矿"&amp;CHAR(10)&amp;"n. 牧师；神学家"&amp;CHAR(10)&amp;"n. (Divine)人名；(英)迪万"</f>
        <v/>
      </c>
      <c r="G594" s="18">
        <f>HYPERLINK("D:\python\英语学习\voices\"&amp;B594&amp;"_1.mp3","BrE")</f>
        <v/>
      </c>
      <c r="H594" s="18">
        <f>HYPERLINK("D:\python\英语学习\voices\"&amp;B594&amp;"_2.mp3","AmE")</f>
        <v/>
      </c>
      <c r="I594" s="18">
        <f>HYPERLINK("http://dict.youdao.com/w/"&amp;B594,"有道")</f>
        <v/>
      </c>
    </row>
    <row r="595">
      <c r="A595" s="1" t="inlineStr">
        <is>
          <t>unnecessary</t>
        </is>
      </c>
      <c r="B595" s="1" t="inlineStr">
        <is>
          <t>docile</t>
        </is>
      </c>
      <c r="C595" s="7">
        <f>"adj. 温顺的，驯服的；容易教的"</f>
        <v/>
      </c>
      <c r="E595" s="6" t="inlineStr">
        <is>
          <t>驯良的</t>
        </is>
      </c>
      <c r="G595" s="18">
        <f>HYPERLINK("D:\python\英语学习\voices\"&amp;B595&amp;"_1.mp3","BrE")</f>
        <v/>
      </c>
      <c r="H595" s="18">
        <f>HYPERLINK("D:\python\英语学习\voices\"&amp;B595&amp;"_2.mp3","AmE")</f>
        <v/>
      </c>
      <c r="I595" s="18">
        <f>HYPERLINK("http://dict.youdao.com/w/"&amp;B595,"有道")</f>
        <v/>
      </c>
    </row>
    <row customHeight="1" ht="71.25" r="596">
      <c r="B596" s="1" t="inlineStr">
        <is>
          <t>dock</t>
        </is>
      </c>
      <c r="C596" s="7">
        <f>"n. 码头；船坞；被告席；尾巴的骨肉部分"&amp;CHAR(10)&amp;"vt. 使靠码头；剪短"&amp;CHAR(10)&amp;"vi. 入船坞"&amp;CHAR(10)&amp;"n. （Dock）程序坞"&amp;CHAR(10)&amp;"n. （Dock）人名；(老)多；(英、法、瑞典)多克"</f>
        <v/>
      </c>
      <c r="E596" t="inlineStr">
        <is>
          <t>dock with 对接</t>
        </is>
      </c>
      <c r="G596" s="18">
        <f>HYPERLINK("D:\python\英语学习\voices\"&amp;B596&amp;"_1.mp3","BrE")</f>
        <v/>
      </c>
      <c r="H596" s="18">
        <f>HYPERLINK("D:\python\英语学习\voices\"&amp;B596&amp;"_2.mp3","AmE")</f>
        <v/>
      </c>
      <c r="I596" s="18">
        <f>HYPERLINK("http://dict.youdao.com/w/"&amp;B596,"有道")</f>
        <v/>
      </c>
    </row>
    <row r="597">
      <c r="B597" s="1" t="inlineStr">
        <is>
          <t>doctorate</t>
        </is>
      </c>
      <c r="C597" s="7">
        <f>"n. 博士学位；博士头衔"</f>
        <v/>
      </c>
      <c r="G597" s="18">
        <f>HYPERLINK("D:\python\英语学习\voices\"&amp;B597&amp;"_1.mp3","BrE")</f>
        <v/>
      </c>
      <c r="H597" s="18">
        <f>HYPERLINK("D:\python\英语学习\voices\"&amp;B597&amp;"_2.mp3","AmE")</f>
        <v/>
      </c>
      <c r="I597" s="18">
        <f>HYPERLINK("http://dict.youdao.com/w/"&amp;B597,"有道")</f>
        <v/>
      </c>
    </row>
    <row r="598">
      <c r="B598" s="1" t="inlineStr">
        <is>
          <t>doctrine</t>
        </is>
      </c>
      <c r="C598" s="7">
        <f>"n. 主义；学说；教义；信条"</f>
        <v/>
      </c>
      <c r="G598" s="18">
        <f>HYPERLINK("D:\python\英语学习\voices\"&amp;B598&amp;"_1.mp3","BrE")</f>
        <v/>
      </c>
      <c r="H598" s="18">
        <f>HYPERLINK("D:\python\英语学习\voices\"&amp;B598&amp;"_2.mp3","AmE")</f>
        <v/>
      </c>
      <c r="I598" s="18">
        <f>HYPERLINK("http://dict.youdao.com/w/"&amp;B598,"有道")</f>
        <v/>
      </c>
    </row>
    <row customHeight="1" ht="28.5" r="599">
      <c r="B599" s="1" t="inlineStr">
        <is>
          <t>dominant</t>
        </is>
      </c>
      <c r="C599" s="7">
        <f>"adj. 显性的；占优势的；支配的，统治的"&amp;CHAR(10)&amp;"n. 显性"</f>
        <v/>
      </c>
      <c r="G599" s="18">
        <f>HYPERLINK("D:\python\英语学习\voices\"&amp;B599&amp;"_1.mp3","BrE")</f>
        <v/>
      </c>
      <c r="H599" s="18">
        <f>HYPERLINK("D:\python\英语学习\voices\"&amp;B599&amp;"_2.mp3","AmE")</f>
        <v/>
      </c>
      <c r="I599" s="18">
        <f>HYPERLINK("http://dict.youdao.com/w/"&amp;B599,"有道")</f>
        <v/>
      </c>
    </row>
    <row customHeight="1" ht="28.5" r="600">
      <c r="B600" s="1" t="inlineStr">
        <is>
          <t>dominate</t>
        </is>
      </c>
      <c r="C600" s="7">
        <f>"vt. 控制；支配；占优势；在…中占主要地位"&amp;CHAR(10)&amp;"vi. 占优势；处于支配地位"</f>
        <v/>
      </c>
      <c r="G600" s="18">
        <f>HYPERLINK("D:\python\英语学习\voices\"&amp;B600&amp;"_1.mp3","BrE")</f>
        <v/>
      </c>
      <c r="H600" s="18">
        <f>HYPERLINK("D:\python\英语学习\voices\"&amp;B600&amp;"_2.mp3","AmE")</f>
        <v/>
      </c>
      <c r="I600" s="18">
        <f>HYPERLINK("http://dict.youdao.com/w/"&amp;B600,"有道")</f>
        <v/>
      </c>
    </row>
    <row customHeight="1" ht="42.75" r="601">
      <c r="B601" s="1" t="inlineStr">
        <is>
          <t>doom</t>
        </is>
      </c>
      <c r="C601" s="7">
        <f>"n. 厄运；死亡；判决；世界末日"&amp;CHAR(10)&amp;"vt. 注定；判决；使失败"&amp;CHAR(10)&amp;"n. (Doom)人名；(泰)伦"</f>
        <v/>
      </c>
      <c r="G601" s="18">
        <f>HYPERLINK("D:\python\英语学习\voices\"&amp;B601&amp;"_1.mp3","BrE")</f>
        <v/>
      </c>
      <c r="H601" s="18">
        <f>HYPERLINK("D:\python\英语学习\voices\"&amp;B601&amp;"_2.mp3","AmE")</f>
        <v/>
      </c>
      <c r="I601" s="18">
        <f>HYPERLINK("http://dict.youdao.com/w/"&amp;B601,"有道")</f>
        <v/>
      </c>
    </row>
    <row customHeight="1" ht="42.75" r="602">
      <c r="B602" s="1" t="inlineStr">
        <is>
          <t>dope</t>
        </is>
      </c>
      <c r="C602" s="7">
        <f>"n. 笨蛋；麻醉药物；涂料"&amp;CHAR(10)&amp;"vt. 上涂料；服药"&amp;CHAR(10)&amp;"vi. 吸毒；吸毒成瘾"</f>
        <v/>
      </c>
      <c r="G602" s="18">
        <f>HYPERLINK("D:\python\英语学习\voices\"&amp;B602&amp;"_1.mp3","BrE")</f>
        <v/>
      </c>
      <c r="H602" s="18">
        <f>HYPERLINK("D:\python\英语学习\voices\"&amp;B602&amp;"_2.mp3","AmE")</f>
        <v/>
      </c>
      <c r="I602" s="18">
        <f>HYPERLINK("http://dict.youdao.com/w/"&amp;B602,"有道")</f>
        <v/>
      </c>
    </row>
    <row customHeight="1" ht="28.5" r="603">
      <c r="B603" s="1" t="inlineStr">
        <is>
          <t>dorm</t>
        </is>
      </c>
      <c r="C603" s="7">
        <f>"n. 宿舍（等于dormitory）"&amp;CHAR(10)&amp;"n. (Dorm)人名；(瑞典)多尔姆"</f>
        <v/>
      </c>
      <c r="G603" s="18">
        <f>HYPERLINK("D:\python\英语学习\voices\"&amp;B603&amp;"_1.mp3","BrE")</f>
        <v/>
      </c>
      <c r="H603" s="18">
        <f>HYPERLINK("D:\python\英语学习\voices\"&amp;B603&amp;"_2.mp3","AmE")</f>
        <v/>
      </c>
      <c r="I603" s="18">
        <f>HYPERLINK("http://dict.youdao.com/w/"&amp;B603,"有道")</f>
        <v/>
      </c>
    </row>
    <row customHeight="1" ht="42.75" r="604">
      <c r="B604" s="1" t="inlineStr">
        <is>
          <t>dove</t>
        </is>
      </c>
      <c r="C604" s="7">
        <f>"n. 鸽子；鸽派人士"&amp;CHAR(10)&amp;"v. 潜水（dive的过去式）"&amp;CHAR(10)&amp;"n. (Dove)人名；(英)达夫；(德、法)多弗"</f>
        <v/>
      </c>
      <c r="G604" s="18">
        <f>HYPERLINK("D:\python\英语学习\voices\"&amp;B604&amp;"_1.mp3","BrE")</f>
        <v/>
      </c>
      <c r="H604" s="18">
        <f>HYPERLINK("D:\python\英语学习\voices\"&amp;B604&amp;"_2.mp3","AmE")</f>
        <v/>
      </c>
      <c r="I604" s="18">
        <f>HYPERLINK("http://dict.youdao.com/w/"&amp;B604,"有道")</f>
        <v/>
      </c>
    </row>
    <row customHeight="1" ht="28.5" r="605">
      <c r="B605" s="1" t="inlineStr">
        <is>
          <t>downside</t>
        </is>
      </c>
      <c r="C605" s="7">
        <f>"n. 负面，缺点；下降趋势；底侧"&amp;CHAR(10)&amp;"adj. 底侧的"</f>
        <v/>
      </c>
      <c r="G605" s="18">
        <f>HYPERLINK("D:\python\英语学习\voices\"&amp;B605&amp;"_1.mp3","BrE")</f>
        <v/>
      </c>
      <c r="H605" s="18">
        <f>HYPERLINK("D:\python\英语学习\voices\"&amp;B605&amp;"_2.mp3","AmE")</f>
        <v/>
      </c>
      <c r="I605" s="18">
        <f>HYPERLINK("http://dict.youdao.com/w/"&amp;B605,"有道")</f>
        <v/>
      </c>
    </row>
    <row customHeight="1" ht="28.5" r="606">
      <c r="B606" s="1" t="inlineStr">
        <is>
          <t>downstream</t>
        </is>
      </c>
      <c r="C606" s="7">
        <f>"adv. 下游地；顺流而下"&amp;CHAR(10)&amp;"adj. 下游的；顺流的"</f>
        <v/>
      </c>
      <c r="G606" s="18">
        <f>HYPERLINK("D:\python\英语学习\voices\"&amp;B606&amp;"_1.mp3","BrE")</f>
        <v/>
      </c>
      <c r="H606" s="18">
        <f>HYPERLINK("D:\python\英语学习\voices\"&amp;B606&amp;"_2.mp3","AmE")</f>
        <v/>
      </c>
      <c r="I606" s="18">
        <f>HYPERLINK("http://dict.youdao.com/w/"&amp;B606,"有道")</f>
        <v/>
      </c>
    </row>
    <row r="607">
      <c r="B607" s="1" t="inlineStr">
        <is>
          <t>downturn</t>
        </is>
      </c>
      <c r="C607" s="7">
        <f>"n. 衰退（经济方面）；低迷时期"</f>
        <v/>
      </c>
      <c r="G607" s="18">
        <f>HYPERLINK("D:\python\英语学习\voices\"&amp;B607&amp;"_1.mp3","BrE")</f>
        <v/>
      </c>
      <c r="H607" s="18">
        <f>HYPERLINK("D:\python\英语学习\voices\"&amp;B607&amp;"_2.mp3","AmE")</f>
        <v/>
      </c>
      <c r="I607" s="18">
        <f>HYPERLINK("http://dict.youdao.com/w/"&amp;B607,"有道")</f>
        <v/>
      </c>
    </row>
    <row customHeight="1" ht="57" r="608">
      <c r="B608" s="1" t="inlineStr">
        <is>
          <t>doze</t>
        </is>
      </c>
      <c r="C608" s="7">
        <f>"vi. 打瞌睡；假寐"&amp;CHAR(10)&amp;"vt. 打瞌睡度过"&amp;CHAR(10)&amp;"n. 瞌睡"&amp;CHAR(10)&amp;"n. (Doze)人名；(法)多兹"</f>
        <v/>
      </c>
      <c r="G608" s="18">
        <f>HYPERLINK("D:\python\英语学习\voices\"&amp;B608&amp;"_1.mp3","BrE")</f>
        <v/>
      </c>
      <c r="H608" s="18">
        <f>HYPERLINK("D:\python\英语学习\voices\"&amp;B608&amp;"_2.mp3","AmE")</f>
        <v/>
      </c>
      <c r="I608" s="18">
        <f>HYPERLINK("http://dict.youdao.com/w/"&amp;B608,"有道")</f>
        <v/>
      </c>
    </row>
    <row customHeight="1" ht="28.5" r="609">
      <c r="A609" s="1" t="inlineStr">
        <is>
          <t>important</t>
        </is>
      </c>
      <c r="B609" s="1" t="inlineStr">
        <is>
          <t>spark</t>
        </is>
      </c>
      <c r="C609" s="7">
        <f>"n. 火花；朝气；闪光"&amp;CHAR(10)&amp;"vt. 发动；鼓舞；求婚"&amp;CHAR(10)&amp;"vi. 闪烁；发火花；求婚"&amp;CHAR(10)&amp;"n. (Spark)人名；(俄)斯帕克"&amp;CHAR(10)&amp;"六级考过sparking v.引起推动的意思"</f>
        <v/>
      </c>
      <c r="E609" s="6" t="inlineStr">
        <is>
          <t>2017CET6 考了v.引起，推动的意思？？</t>
        </is>
      </c>
      <c r="G609" s="18">
        <f>HYPERLINK("D:\python\英语学习\voices\"&amp;B609&amp;"_1.mp3","BrE")</f>
        <v/>
      </c>
      <c r="H609" s="18">
        <f>HYPERLINK("D:\python\英语学习\voices\"&amp;B609&amp;"_2.mp3","AmE")</f>
        <v/>
      </c>
      <c r="I609" s="18">
        <f>HYPERLINK("http://dict.youdao.com/w/"&amp;B609,"有道")</f>
        <v/>
      </c>
    </row>
    <row r="610">
      <c r="B610" s="1" t="inlineStr">
        <is>
          <t>drawback</t>
        </is>
      </c>
      <c r="C610" s="7">
        <f>"n. 缺点，不利条件；退税"</f>
        <v/>
      </c>
      <c r="G610" s="18">
        <f>HYPERLINK("D:\python\英语学习\voices\"&amp;B610&amp;"_1.mp3","BrE")</f>
        <v/>
      </c>
      <c r="H610" s="18">
        <f>HYPERLINK("D:\python\英语学习\voices\"&amp;B610&amp;"_2.mp3","AmE")</f>
        <v/>
      </c>
      <c r="I610" s="18">
        <f>HYPERLINK("http://dict.youdao.com/w/"&amp;B610,"有道")</f>
        <v/>
      </c>
    </row>
    <row customHeight="1" ht="28.5" r="611">
      <c r="B611" s="1" t="inlineStr">
        <is>
          <t>dummy</t>
        </is>
      </c>
      <c r="C611" s="7">
        <f>"adj. 虚拟的；假的"&amp;CHAR(10)&amp;"n. 傀儡；哑巴；仿制品"</f>
        <v/>
      </c>
      <c r="G611" s="18">
        <f>HYPERLINK("D:\python\英语学习\voices\"&amp;B611&amp;"_1.mp3","BrE")</f>
        <v/>
      </c>
      <c r="H611" s="18">
        <f>HYPERLINK("D:\python\英语学习\voices\"&amp;B611&amp;"_2.mp3","AmE")</f>
        <v/>
      </c>
      <c r="I611" s="18">
        <f>HYPERLINK("http://dict.youdao.com/w/"&amp;B611,"有道")</f>
        <v/>
      </c>
    </row>
    <row customHeight="1" ht="57" r="612">
      <c r="B612" s="1" t="inlineStr">
        <is>
          <t>duplicate</t>
        </is>
      </c>
      <c r="C612" s="7">
        <f>"vt. 复制；使加倍"&amp;CHAR(10)&amp;"n. 副本；复制品"&amp;CHAR(10)&amp;"adj. 复制的；二重的"&amp;CHAR(10)&amp;"vi. 复制；重复"</f>
        <v/>
      </c>
      <c r="G612" s="18">
        <f>HYPERLINK("D:\python\英语学习\voices\"&amp;B612&amp;"_1.mp3","BrE")</f>
        <v/>
      </c>
      <c r="H612" s="18">
        <f>HYPERLINK("D:\python\英语学习\voices\"&amp;B612&amp;"_2.mp3","AmE")</f>
        <v/>
      </c>
      <c r="I612" s="18">
        <f>HYPERLINK("http://dict.youdao.com/w/"&amp;B612,"有道")</f>
        <v/>
      </c>
    </row>
    <row customHeight="1" ht="57" r="613">
      <c r="B613" s="1" t="inlineStr">
        <is>
          <t>dusk</t>
        </is>
      </c>
      <c r="C613" s="7">
        <f>"n. 黄昏，薄暮；幽暗，昏暗"&amp;CHAR(10)&amp;"adj. 微暗的"&amp;CHAR(10)&amp;"vt. 使变微暗"&amp;CHAR(10)&amp;"vi. 变微暗"</f>
        <v/>
      </c>
      <c r="G613" s="18">
        <f>HYPERLINK("D:\python\英语学习\voices\"&amp;B613&amp;"_1.mp3","BrE")</f>
        <v/>
      </c>
      <c r="H613" s="18">
        <f>HYPERLINK("D:\python\英语学习\voices\"&amp;B613&amp;"_2.mp3","AmE")</f>
        <v/>
      </c>
      <c r="I613" s="18">
        <f>HYPERLINK("http://dict.youdao.com/w/"&amp;B613,"有道")</f>
        <v/>
      </c>
    </row>
    <row customHeight="1" ht="57" r="614">
      <c r="B614" s="1" t="inlineStr">
        <is>
          <t>dwarf</t>
        </is>
      </c>
      <c r="C614" s="7">
        <f>"vi. 变矮小"&amp;CHAR(10)&amp;"n. 侏儒，矮子"&amp;CHAR(10)&amp;"vt. 使矮小"&amp;CHAR(10)&amp;"adj. 矮小的"</f>
        <v/>
      </c>
      <c r="G614" s="18">
        <f>HYPERLINK("D:\python\英语学习\voices\"&amp;B614&amp;"_1.mp3","BrE")</f>
        <v/>
      </c>
      <c r="H614" s="18">
        <f>HYPERLINK("D:\python\英语学习\voices\"&amp;B614&amp;"_2.mp3","AmE")</f>
        <v/>
      </c>
      <c r="I614" s="18">
        <f>HYPERLINK("http://dict.youdao.com/w/"&amp;B614,"有道")</f>
        <v/>
      </c>
    </row>
    <row r="615">
      <c r="B615" s="1" t="inlineStr">
        <is>
          <t>dwell</t>
        </is>
      </c>
      <c r="C615" s="7">
        <f>"vi. 居住；存在于；细想某事"</f>
        <v/>
      </c>
      <c r="G615" s="18">
        <f>HYPERLINK("D:\python\英语学习\voices\"&amp;B615&amp;"_1.mp3","BrE")</f>
        <v/>
      </c>
      <c r="H615" s="18">
        <f>HYPERLINK("D:\python\英语学习\voices\"&amp;B615&amp;"_2.mp3","AmE")</f>
        <v/>
      </c>
      <c r="I615" s="18">
        <f>HYPERLINK("http://dict.youdao.com/w/"&amp;B615,"有道")</f>
        <v/>
      </c>
    </row>
    <row customHeight="1" ht="28.5" r="616">
      <c r="A616" s="1" t="inlineStr">
        <is>
          <t>important</t>
        </is>
      </c>
      <c r="B616" s="1" t="inlineStr">
        <is>
          <t>collective</t>
        </is>
      </c>
      <c r="C616" s="7">
        <f>"adj. 集体的；共同的；集合的；集体主义的"&amp;CHAR(10)&amp;"n. 集团；集合体；集合名词"</f>
        <v/>
      </c>
      <c r="G616" s="18">
        <f>HYPERLINK("D:\python\英语学习\voices\"&amp;B616&amp;"_1.mp3","BrE")</f>
        <v/>
      </c>
      <c r="H616" s="18">
        <f>HYPERLINK("D:\python\英语学习\voices\"&amp;B616&amp;"_2.mp3","AmE")</f>
        <v/>
      </c>
      <c r="I616" s="18">
        <f>HYPERLINK("http://dict.youdao.com/w/"&amp;B616,"有道")</f>
        <v/>
      </c>
    </row>
    <row r="617">
      <c r="B617" s="1" t="inlineStr">
        <is>
          <t>dynamo</t>
        </is>
      </c>
      <c r="C617" s="7">
        <f>"n. 发电机；精力充沛的人"</f>
        <v/>
      </c>
      <c r="G617" s="18">
        <f>HYPERLINK("D:\python\英语学习\voices\"&amp;B617&amp;"_1.mp3","BrE")</f>
        <v/>
      </c>
      <c r="H617" s="18">
        <f>HYPERLINK("D:\python\英语学习\voices\"&amp;B617&amp;"_2.mp3","AmE")</f>
        <v/>
      </c>
      <c r="I617" s="18">
        <f>HYPERLINK("http://dict.youdao.com/w/"&amp;B617,"有道")</f>
        <v/>
      </c>
    </row>
    <row customHeight="1" ht="28.5" r="618">
      <c r="B618" s="1" t="inlineStr">
        <is>
          <t>dysfunction</t>
        </is>
      </c>
      <c r="C618" s="7">
        <f>"n. 功能紊乱；机能障碍；官能不良"&amp;CHAR(10)&amp;"vi. 功能失调；出现机能障碍；垮掉"</f>
        <v/>
      </c>
      <c r="G618" s="18">
        <f>HYPERLINK("D:\python\英语学习\voices\"&amp;B618&amp;"_1.mp3","BrE")</f>
        <v/>
      </c>
      <c r="H618" s="18">
        <f>HYPERLINK("D:\python\英语学习\voices\"&amp;B618&amp;"_2.mp3","AmE")</f>
        <v/>
      </c>
      <c r="I618" s="18">
        <f>HYPERLINK("http://dict.youdao.com/w/"&amp;B618,"有道")</f>
        <v/>
      </c>
    </row>
    <row r="619">
      <c r="A619" s="1" t="inlineStr">
        <is>
          <t>unnecessary</t>
        </is>
      </c>
      <c r="B619" s="1" t="inlineStr">
        <is>
          <t>dysmenorrhea</t>
        </is>
      </c>
      <c r="C619" s="7">
        <f>"n. [妇产] 痛经；月经困难"</f>
        <v/>
      </c>
      <c r="G619" s="18">
        <f>HYPERLINK("D:\python\英语学习\voices\"&amp;B619&amp;"_1.mp3","BrE")</f>
        <v/>
      </c>
      <c r="H619" s="18">
        <f>HYPERLINK("D:\python\英语学习\voices\"&amp;B619&amp;"_2.mp3","AmE")</f>
        <v/>
      </c>
      <c r="I619" s="18">
        <f>HYPERLINK("http://dict.youdao.com/w/"&amp;B619,"有道")</f>
        <v/>
      </c>
    </row>
    <row customHeight="1" ht="42.75" r="620">
      <c r="B620" s="1" t="inlineStr">
        <is>
          <t>earnest</t>
        </is>
      </c>
      <c r="C620" s="7">
        <f>"adj. 认真的，热心的；重要的"&amp;CHAR(10)&amp;"n. 认真；定金；诚挚"&amp;CHAR(10)&amp;"n. (Earnest)人名；(英)欧内斯特"</f>
        <v/>
      </c>
      <c r="G620" s="18">
        <f>HYPERLINK("D:\python\英语学习\voices\"&amp;B620&amp;"_1.mp3","BrE")</f>
        <v/>
      </c>
      <c r="H620" s="18">
        <f>HYPERLINK("D:\python\英语学习\voices\"&amp;B620&amp;"_2.mp3","AmE")</f>
        <v/>
      </c>
      <c r="I620" s="18">
        <f>HYPERLINK("http://dict.youdao.com/w/"&amp;B620,"有道")</f>
        <v/>
      </c>
    </row>
    <row r="621">
      <c r="B621" s="1" t="inlineStr">
        <is>
          <t>earthenware</t>
        </is>
      </c>
      <c r="C621" s="7">
        <f>"n. 陶器；土器"</f>
        <v/>
      </c>
      <c r="G621" s="18">
        <f>HYPERLINK("D:\python\英语学习\voices\"&amp;B621&amp;"_1.mp3","BrE")</f>
        <v/>
      </c>
      <c r="H621" s="18">
        <f>HYPERLINK("D:\python\英语学习\voices\"&amp;B621&amp;"_2.mp3","AmE")</f>
        <v/>
      </c>
      <c r="I621" s="18">
        <f>HYPERLINK("http://dict.youdao.com/w/"&amp;B621,"有道")</f>
        <v/>
      </c>
    </row>
    <row customHeight="1" ht="28.5" r="622">
      <c r="A622" s="1" t="inlineStr">
        <is>
          <t>important</t>
        </is>
      </c>
      <c r="B622" s="1" t="inlineStr">
        <is>
          <t>civility</t>
        </is>
      </c>
      <c r="C622" s="7">
        <f>"n. 礼貌；礼仪；端庄"</f>
        <v/>
      </c>
      <c r="G622" s="18">
        <f>HYPERLINK("D:\python\英语学习\voices\"&amp;B622&amp;"_1.mp3","BrE")</f>
        <v/>
      </c>
      <c r="H622" s="18">
        <f>HYPERLINK("D:\python\英语学习\voices\"&amp;B622&amp;"_2.mp3","AmE")</f>
        <v/>
      </c>
      <c r="I622" s="18">
        <f>HYPERLINK("http://dict.youdao.com/w/"&amp;B622,"有道")</f>
        <v/>
      </c>
    </row>
    <row customHeight="1" ht="28.5" r="623">
      <c r="A623" s="1" t="inlineStr">
        <is>
          <t>important</t>
        </is>
      </c>
      <c r="B623" s="1" t="inlineStr">
        <is>
          <t>jeopardise</t>
        </is>
      </c>
      <c r="C623" s="7">
        <f>"vt. 危及（等于jeopardize）；使…受危险"</f>
        <v/>
      </c>
      <c r="G623" s="18">
        <f>HYPERLINK("D:\python\英语学习\voices\"&amp;B623&amp;"_1.mp3","BrE")</f>
        <v/>
      </c>
      <c r="H623" s="18">
        <f>HYPERLINK("D:\python\英语学习\voices\"&amp;B623&amp;"_2.mp3","AmE")</f>
        <v/>
      </c>
      <c r="I623" s="18">
        <f>HYPERLINK("http://dict.youdao.com/w/"&amp;B623,"有道")</f>
        <v/>
      </c>
    </row>
    <row r="624">
      <c r="B624" s="1" t="inlineStr">
        <is>
          <t>economical</t>
        </is>
      </c>
      <c r="C624" s="7">
        <f>"adj. 经济的；节约的；合算的"</f>
        <v/>
      </c>
      <c r="G624" s="18">
        <f>HYPERLINK("D:\python\英语学习\voices\"&amp;B624&amp;"_1.mp3","BrE")</f>
        <v/>
      </c>
      <c r="H624" s="18">
        <f>HYPERLINK("D:\python\英语学习\voices\"&amp;B624&amp;"_2.mp3","AmE")</f>
        <v/>
      </c>
      <c r="I624" s="18">
        <f>HYPERLINK("http://dict.youdao.com/w/"&amp;B624,"有道")</f>
        <v/>
      </c>
    </row>
    <row r="625">
      <c r="B625" s="1" t="inlineStr">
        <is>
          <t>economics</t>
        </is>
      </c>
      <c r="C625" s="7">
        <f>"n. 经济学；国家的经济状况"</f>
        <v/>
      </c>
      <c r="G625" s="18">
        <f>HYPERLINK("D:\python\英语学习\voices\"&amp;B625&amp;"_1.mp3","BrE")</f>
        <v/>
      </c>
      <c r="H625" s="18">
        <f>HYPERLINK("D:\python\英语学习\voices\"&amp;B625&amp;"_2.mp3","AmE")</f>
        <v/>
      </c>
      <c r="I625" s="18">
        <f>HYPERLINK("http://dict.youdao.com/w/"&amp;B625,"有道")</f>
        <v/>
      </c>
    </row>
    <row customHeight="1" ht="28.5" r="626">
      <c r="B626" s="1" t="inlineStr">
        <is>
          <t>economy</t>
        </is>
      </c>
      <c r="C626" s="7">
        <f>"n. 经济；节约；理财"&amp;CHAR(10)&amp;"n. (Economy)人名；(英)伊科诺米"</f>
        <v/>
      </c>
      <c r="G626" s="18">
        <f>HYPERLINK("D:\python\英语学习\voices\"&amp;B626&amp;"_1.mp3","BrE")</f>
        <v/>
      </c>
      <c r="H626" s="18">
        <f>HYPERLINK("D:\python\英语学习\voices\"&amp;B626&amp;"_2.mp3","AmE")</f>
        <v/>
      </c>
      <c r="I626" s="18">
        <f>HYPERLINK("http://dict.youdao.com/w/"&amp;B626,"有道")</f>
        <v/>
      </c>
    </row>
    <row customHeight="1" ht="28.5" r="627">
      <c r="B627" s="1" t="inlineStr">
        <is>
          <t>edible</t>
        </is>
      </c>
      <c r="C627" s="7">
        <f>"adj. 可食用的"&amp;CHAR(10)&amp;"n. 食品；食物"</f>
        <v/>
      </c>
      <c r="G627" s="18">
        <f>HYPERLINK("D:\python\英语学习\voices\"&amp;B627&amp;"_1.mp3","BrE")</f>
        <v/>
      </c>
      <c r="H627" s="18">
        <f>HYPERLINK("D:\python\英语学习\voices\"&amp;B627&amp;"_2.mp3","AmE")</f>
        <v/>
      </c>
      <c r="I627" s="18">
        <f>HYPERLINK("http://dict.youdao.com/w/"&amp;B627,"有道")</f>
        <v/>
      </c>
    </row>
    <row customHeight="1" ht="28.5" r="628">
      <c r="B628" s="1" t="inlineStr">
        <is>
          <t>editorial</t>
        </is>
      </c>
      <c r="C628" s="7">
        <f>"adj. 编辑的；社论的"&amp;CHAR(10)&amp;"n. 社论"</f>
        <v/>
      </c>
      <c r="G628" s="18">
        <f>HYPERLINK("D:\python\英语学习\voices\"&amp;B628&amp;"_1.mp3","BrE")</f>
        <v/>
      </c>
      <c r="H628" s="18">
        <f>HYPERLINK("D:\python\英语学习\voices\"&amp;B628&amp;"_2.mp3","AmE")</f>
        <v/>
      </c>
      <c r="I628" s="18">
        <f>HYPERLINK("http://dict.youdao.com/w/"&amp;B628,"有道")</f>
        <v/>
      </c>
    </row>
    <row customHeight="1" ht="28.5" r="629">
      <c r="B629" s="1" t="inlineStr">
        <is>
          <t>ego</t>
        </is>
      </c>
      <c r="C629" s="7">
        <f>"n. 自我；自负；自我意识"&amp;CHAR(10)&amp;"n. (Ego)人名；(日)依怙 (姓)；(法)埃戈"</f>
        <v/>
      </c>
      <c r="G629" s="18">
        <f>HYPERLINK("D:\python\英语学习\voices\"&amp;B629&amp;"_1.mp3","BrE")</f>
        <v/>
      </c>
      <c r="H629" s="18">
        <f>HYPERLINK("D:\python\英语学习\voices\"&amp;B629&amp;"_2.mp3","AmE")</f>
        <v/>
      </c>
      <c r="I629" s="18">
        <f>HYPERLINK("http://dict.youdao.com/w/"&amp;B629,"有道")</f>
        <v/>
      </c>
    </row>
    <row r="630">
      <c r="B630" s="1" t="inlineStr">
        <is>
          <t>eject</t>
        </is>
      </c>
      <c r="C630" s="7">
        <f>"vt. 喷射；驱逐，逐出"</f>
        <v/>
      </c>
      <c r="G630" s="18">
        <f>HYPERLINK("D:\python\英语学习\voices\"&amp;B630&amp;"_1.mp3","BrE")</f>
        <v/>
      </c>
      <c r="H630" s="18">
        <f>HYPERLINK("D:\python\英语学习\voices\"&amp;B630&amp;"_2.mp3","AmE")</f>
        <v/>
      </c>
      <c r="I630" s="18">
        <f>HYPERLINK("http://dict.youdao.com/w/"&amp;B630,"有道")</f>
        <v/>
      </c>
    </row>
    <row customHeight="1" ht="28.5" r="631">
      <c r="B631" s="1" t="inlineStr">
        <is>
          <t>elapse</t>
        </is>
      </c>
      <c r="C631" s="7">
        <f>"vi. 消逝；时间过去"&amp;CHAR(10)&amp;"n. 流逝；时间的过去"</f>
        <v/>
      </c>
      <c r="E631" t="inlineStr">
        <is>
          <t>Many years had elapsed before...</t>
        </is>
      </c>
      <c r="F631">
        <f>"Many years had elapsed before...
很多年过去...（过去完成时+before而非until）"</f>
        <v/>
      </c>
      <c r="G631" s="18">
        <f>HYPERLINK("D:\python\英语学习\voices\"&amp;B631&amp;"_1.mp3","BrE")</f>
        <v/>
      </c>
      <c r="H631" s="18">
        <f>HYPERLINK("D:\python\英语学习\voices\"&amp;B631&amp;"_2.mp3","AmE")</f>
        <v/>
      </c>
      <c r="I631" s="18">
        <f>HYPERLINK("http://dict.youdao.com/w/"&amp;B631,"有道")</f>
        <v/>
      </c>
    </row>
    <row r="632">
      <c r="B632" s="1" t="inlineStr">
        <is>
          <t>electorate</t>
        </is>
      </c>
      <c r="C632" s="7">
        <f>"n. 选民；选区"</f>
        <v/>
      </c>
      <c r="G632" s="18">
        <f>HYPERLINK("D:\python\英语学习\voices\"&amp;B632&amp;"_1.mp3","BrE")</f>
        <v/>
      </c>
      <c r="H632" s="18">
        <f>HYPERLINK("D:\python\英语学习\voices\"&amp;B632&amp;"_2.mp3","AmE")</f>
        <v/>
      </c>
      <c r="I632" s="18">
        <f>HYPERLINK("http://dict.youdao.com/w/"&amp;B632,"有道")</f>
        <v/>
      </c>
    </row>
    <row r="633">
      <c r="B633" s="1" t="inlineStr">
        <is>
          <t>electrician</t>
        </is>
      </c>
      <c r="C633" s="7">
        <f>"n. 电工；电气技师"</f>
        <v/>
      </c>
      <c r="G633" s="18">
        <f>HYPERLINK("D:\python\英语学习\voices\"&amp;B633&amp;"_1.mp3","BrE")</f>
        <v/>
      </c>
      <c r="H633" s="18">
        <f>HYPERLINK("D:\python\英语学习\voices\"&amp;B633&amp;"_2.mp3","AmE")</f>
        <v/>
      </c>
      <c r="I633" s="18">
        <f>HYPERLINK("http://dict.youdao.com/w/"&amp;B633,"有道")</f>
        <v/>
      </c>
    </row>
    <row r="634">
      <c r="B634" s="1" t="inlineStr">
        <is>
          <t>electrode</t>
        </is>
      </c>
      <c r="C634" s="7">
        <f>"n. [电] 电极；电焊条"</f>
        <v/>
      </c>
      <c r="G634" s="18">
        <f>HYPERLINK("D:\python\英语学习\voices\"&amp;B634&amp;"_1.mp3","BrE")</f>
        <v/>
      </c>
      <c r="H634" s="18">
        <f>HYPERLINK("D:\python\英语学习\voices\"&amp;B634&amp;"_2.mp3","AmE")</f>
        <v/>
      </c>
      <c r="I634" s="18">
        <f>HYPERLINK("http://dict.youdao.com/w/"&amp;B634,"有道")</f>
        <v/>
      </c>
    </row>
    <row customHeight="1" ht="28.5" r="635">
      <c r="B635" s="1" t="inlineStr">
        <is>
          <t>electronic</t>
        </is>
      </c>
      <c r="C635" s="7">
        <f>"adj. 电子的"&amp;CHAR(10)&amp;"n. 电子电路；电子器件"</f>
        <v/>
      </c>
      <c r="G635" s="18">
        <f>HYPERLINK("D:\python\英语学习\voices\"&amp;B635&amp;"_1.mp3","BrE")</f>
        <v/>
      </c>
      <c r="H635" s="18">
        <f>HYPERLINK("D:\python\英语学习\voices\"&amp;B635&amp;"_2.mp3","AmE")</f>
        <v/>
      </c>
      <c r="I635" s="18">
        <f>HYPERLINK("http://dict.youdao.com/w/"&amp;B635,"有道")</f>
        <v/>
      </c>
    </row>
    <row customHeight="1" ht="29.1" r="636">
      <c r="B636" s="1" t="inlineStr">
        <is>
          <t>elevate</t>
        </is>
      </c>
      <c r="C636" s="7">
        <f>"vt. 提升；举起；振奋情绪等；提升…的职位"</f>
        <v/>
      </c>
      <c r="G636" s="18">
        <f>HYPERLINK("D:\python\英语学习\voices\"&amp;B636&amp;"_1.mp3","BrE")</f>
        <v/>
      </c>
      <c r="H636" s="18">
        <f>HYPERLINK("D:\python\英语学习\voices\"&amp;B636&amp;"_2.mp3","AmE")</f>
        <v/>
      </c>
      <c r="I636" s="18">
        <f>HYPERLINK("http://dict.youdao.com/w/"&amp;B636,"有道")</f>
        <v/>
      </c>
    </row>
    <row r="637">
      <c r="B637" s="1" t="inlineStr">
        <is>
          <t>elicit</t>
        </is>
      </c>
      <c r="C637" s="7">
        <f>"vt. 抽出，引出；引起"</f>
        <v/>
      </c>
      <c r="G637" s="18">
        <f>HYPERLINK("D:\python\英语学习\voices\"&amp;B637&amp;"_1.mp3","BrE")</f>
        <v/>
      </c>
      <c r="H637" s="18">
        <f>HYPERLINK("D:\python\英语学习\voices\"&amp;B637&amp;"_2.mp3","AmE")</f>
        <v/>
      </c>
      <c r="I637" s="18">
        <f>HYPERLINK("http://dict.youdao.com/w/"&amp;B637,"有道")</f>
        <v/>
      </c>
    </row>
    <row r="638">
      <c r="B638" s="1" t="inlineStr">
        <is>
          <t>eligibility</t>
        </is>
      </c>
      <c r="C638" s="7">
        <f>"n. 适任，合格；被选举资格"</f>
        <v/>
      </c>
      <c r="G638" s="18">
        <f>HYPERLINK("D:\python\英语学习\voices\"&amp;B638&amp;"_1.mp3","BrE")</f>
        <v/>
      </c>
      <c r="H638" s="18">
        <f>HYPERLINK("D:\python\英语学习\voices\"&amp;B638&amp;"_2.mp3","AmE")</f>
        <v/>
      </c>
      <c r="I638" s="18">
        <f>HYPERLINK("http://dict.youdao.com/w/"&amp;B638,"有道")</f>
        <v/>
      </c>
    </row>
    <row r="639">
      <c r="B639" s="1" t="inlineStr">
        <is>
          <t>elliptical</t>
        </is>
      </c>
      <c r="C639" s="7">
        <f>"adj. 椭圆的；省略的"</f>
        <v/>
      </c>
      <c r="G639" s="18">
        <f>HYPERLINK("D:\python\英语学习\voices\"&amp;B639&amp;"_1.mp3","BrE")</f>
        <v/>
      </c>
      <c r="H639" s="18">
        <f>HYPERLINK("D:\python\英语学习\voices\"&amp;B639&amp;"_2.mp3","AmE")</f>
        <v/>
      </c>
      <c r="I639" s="18">
        <f>HYPERLINK("http://dict.youdao.com/w/"&amp;B639,"有道")</f>
        <v/>
      </c>
    </row>
    <row r="640">
      <c r="B640" s="1" t="inlineStr">
        <is>
          <t>eloquence</t>
        </is>
      </c>
      <c r="C640" s="7">
        <f>"n. 口才；雄辩；雄辩术；修辞"</f>
        <v/>
      </c>
      <c r="G640" s="18">
        <f>HYPERLINK("D:\python\英语学习\voices\"&amp;B640&amp;"_1.mp3","BrE")</f>
        <v/>
      </c>
      <c r="H640" s="18">
        <f>HYPERLINK("D:\python\英语学习\voices\"&amp;B640&amp;"_2.mp3","AmE")</f>
        <v/>
      </c>
      <c r="I640" s="18">
        <f>HYPERLINK("http://dict.youdao.com/w/"&amp;B640,"有道")</f>
        <v/>
      </c>
    </row>
    <row customHeight="1" ht="28.5" r="641">
      <c r="A641" s="1" t="inlineStr">
        <is>
          <t>important</t>
        </is>
      </c>
      <c r="B641" s="1" t="inlineStr">
        <is>
          <t>sophomore</t>
        </is>
      </c>
      <c r="C641" s="7">
        <f>"n. 大学二年级生；（美）有二年经验的人"&amp;CHAR(10)&amp;"adj. 二年级的；二年级学生的"</f>
        <v/>
      </c>
      <c r="G641" s="18">
        <f>HYPERLINK("D:\python\英语学习\voices\"&amp;B641&amp;"_1.mp3","BrE")</f>
        <v/>
      </c>
      <c r="H641" s="18">
        <f>HYPERLINK("D:\python\英语学习\voices\"&amp;B641&amp;"_2.mp3","AmE")</f>
        <v/>
      </c>
      <c r="I641" s="18">
        <f>HYPERLINK("http://dict.youdao.com/w/"&amp;B641,"有道")</f>
        <v/>
      </c>
    </row>
    <row customHeight="1" ht="28.5" r="642">
      <c r="B642" s="1" t="inlineStr">
        <is>
          <t>embody</t>
        </is>
      </c>
      <c r="C642" s="7">
        <f>"vt. 体现，使具体化；具体表达"&amp;CHAR(10)&amp;"n. (Embody)人名；(英)恩博迪"</f>
        <v/>
      </c>
      <c r="G642" s="18">
        <f>HYPERLINK("D:\python\英语学习\voices\"&amp;B642&amp;"_1.mp3","BrE")</f>
        <v/>
      </c>
      <c r="H642" s="18">
        <f>HYPERLINK("D:\python\英语学习\voices\"&amp;B642&amp;"_2.mp3","AmE")</f>
        <v/>
      </c>
      <c r="I642" s="18">
        <f>HYPERLINK("http://dict.youdao.com/w/"&amp;B642,"有道")</f>
        <v/>
      </c>
    </row>
    <row r="643">
      <c r="B643" s="1" t="inlineStr">
        <is>
          <t>embroidery</t>
        </is>
      </c>
      <c r="C643" s="7">
        <f>"n. 刺绣；刺绣品；粉饰"</f>
        <v/>
      </c>
      <c r="E643" s="6" t="inlineStr">
        <is>
          <t>区分embryo胚胎</t>
        </is>
      </c>
      <c r="G643" s="18">
        <f>HYPERLINK("D:\python\英语学习\voices\"&amp;B643&amp;"_1.mp3","BrE")</f>
        <v/>
      </c>
      <c r="H643" s="18">
        <f>HYPERLINK("D:\python\英语学习\voices\"&amp;B643&amp;"_2.mp3","AmE")</f>
        <v/>
      </c>
      <c r="I643" s="18">
        <f>HYPERLINK("http://dict.youdao.com/w/"&amp;B643,"有道")</f>
        <v/>
      </c>
    </row>
    <row r="644">
      <c r="B644" s="1" t="inlineStr">
        <is>
          <t>embryonic</t>
        </is>
      </c>
      <c r="C644" s="7">
        <f>"adj. [胚] 胚胎的；似胚胎的"</f>
        <v/>
      </c>
      <c r="G644" s="18">
        <f>HYPERLINK("D:\python\英语学习\voices\"&amp;B644&amp;"_1.mp3","BrE")</f>
        <v/>
      </c>
      <c r="H644" s="18">
        <f>HYPERLINK("D:\python\英语学习\voices\"&amp;B644&amp;"_2.mp3","AmE")</f>
        <v/>
      </c>
      <c r="I644" s="18">
        <f>HYPERLINK("http://dict.youdao.com/w/"&amp;B644,"有道")</f>
        <v/>
      </c>
    </row>
    <row r="645">
      <c r="B645" s="1" t="inlineStr">
        <is>
          <t>emerge</t>
        </is>
      </c>
      <c r="C645" s="7">
        <f>"vi. 浮现；摆脱；暴露"</f>
        <v/>
      </c>
      <c r="G645" s="18">
        <f>HYPERLINK("D:\python\英语学习\voices\"&amp;B645&amp;"_1.mp3","BrE")</f>
        <v/>
      </c>
      <c r="H645" s="18">
        <f>HYPERLINK("D:\python\英语学习\voices\"&amp;B645&amp;"_2.mp3","AmE")</f>
        <v/>
      </c>
      <c r="I645" s="18">
        <f>HYPERLINK("http://dict.youdao.com/w/"&amp;B645,"有道")</f>
        <v/>
      </c>
    </row>
    <row customHeight="1" ht="28.5" r="646">
      <c r="B646" s="1" t="inlineStr">
        <is>
          <t>emigrate</t>
        </is>
      </c>
      <c r="C646" s="7">
        <f>"vi. 移居；移居外国"&amp;CHAR(10)&amp;"vt. 移民"</f>
        <v/>
      </c>
      <c r="G646" s="18">
        <f>HYPERLINK("D:\python\英语学习\voices\"&amp;B646&amp;"_1.mp3","BrE")</f>
        <v/>
      </c>
      <c r="H646" s="18">
        <f>HYPERLINK("D:\python\英语学习\voices\"&amp;B646&amp;"_2.mp3","AmE")</f>
        <v/>
      </c>
      <c r="I646" s="18">
        <f>HYPERLINK("http://dict.youdao.com/w/"&amp;B646,"有道")</f>
        <v/>
      </c>
    </row>
    <row r="647">
      <c r="B647" s="1" t="inlineStr">
        <is>
          <t>eminent</t>
        </is>
      </c>
      <c r="C647" s="7">
        <f>"adj. 杰出的；有名的；明显的"</f>
        <v/>
      </c>
      <c r="G647" s="18">
        <f>HYPERLINK("D:\python\英语学习\voices\"&amp;B647&amp;"_1.mp3","BrE")</f>
        <v/>
      </c>
      <c r="H647" s="18">
        <f>HYPERLINK("D:\python\英语学习\voices\"&amp;B647&amp;"_2.mp3","AmE")</f>
        <v/>
      </c>
      <c r="I647" s="18">
        <f>HYPERLINK("http://dict.youdao.com/w/"&amp;B647,"有道")</f>
        <v/>
      </c>
    </row>
    <row r="648">
      <c r="B648" s="1" t="inlineStr">
        <is>
          <t>emit</t>
        </is>
      </c>
      <c r="C648" s="7">
        <f>"vt. 发出，放射；发行；发表"</f>
        <v/>
      </c>
      <c r="E648" s="6" t="inlineStr">
        <is>
          <t>注意拼写只有一个m</t>
        </is>
      </c>
      <c r="G648" s="18">
        <f>HYPERLINK("D:\python\英语学习\voices\"&amp;B648&amp;"_1.mp3","BrE")</f>
        <v/>
      </c>
      <c r="H648" s="18">
        <f>HYPERLINK("D:\python\英语学习\voices\"&amp;B648&amp;"_2.mp3","AmE")</f>
        <v/>
      </c>
      <c r="I648" s="18">
        <f>HYPERLINK("http://dict.youdao.com/w/"&amp;B648,"有道")</f>
        <v/>
      </c>
    </row>
    <row customHeight="1" ht="29.1" r="649">
      <c r="A649" s="1" t="inlineStr">
        <is>
          <t>important</t>
        </is>
      </c>
      <c r="B649" s="1" t="inlineStr">
        <is>
          <t>xenophobia</t>
        </is>
      </c>
      <c r="C649" s="7">
        <f>"n. 仇外；对外国人的畏惧和憎恨"</f>
        <v/>
      </c>
      <c r="E649" s="6" t="inlineStr">
        <is>
          <t>chauvinism沙文主义，盲目的爱国心</t>
        </is>
      </c>
      <c r="G649" s="18">
        <f>HYPERLINK("D:\python\英语学习\voices\"&amp;B649&amp;"_1.mp3","BrE")</f>
        <v/>
      </c>
      <c r="H649" s="18">
        <f>HYPERLINK("D:\python\英语学习\voices\"&amp;B649&amp;"_2.mp3","AmE")</f>
        <v/>
      </c>
      <c r="I649" s="18">
        <f>HYPERLINK("http://dict.youdao.com/w/"&amp;B649,"有道")</f>
        <v/>
      </c>
    </row>
    <row customHeight="1" ht="28.5" r="650">
      <c r="B650" s="1" t="inlineStr">
        <is>
          <t>emulate</t>
        </is>
      </c>
      <c r="C650" s="7">
        <f>"vt. 仿真；模仿；尽力赶上；同…竞争"&amp;CHAR(10)&amp;"n. 仿真；仿效"</f>
        <v/>
      </c>
      <c r="E650" s="6" t="inlineStr">
        <is>
          <t>注意发音-e</t>
        </is>
      </c>
      <c r="G650" s="18">
        <f>HYPERLINK("D:\python\英语学习\voices\"&amp;B650&amp;"_1.mp3","BrE")</f>
        <v/>
      </c>
      <c r="H650" s="18">
        <f>HYPERLINK("D:\python\英语学习\voices\"&amp;B650&amp;"_2.mp3","AmE")</f>
        <v/>
      </c>
      <c r="I650" s="18">
        <f>HYPERLINK("http://dict.youdao.com/w/"&amp;B650,"有道")</f>
        <v/>
      </c>
    </row>
    <row customHeight="1" ht="28.5" r="651">
      <c r="B651" s="1" t="inlineStr">
        <is>
          <t>enchanted</t>
        </is>
      </c>
      <c r="C651" s="7">
        <f>"adj. 被施魔法的"&amp;CHAR(10)&amp;"v. 使着魔（enchant的过去式）"</f>
        <v/>
      </c>
      <c r="G651" s="18">
        <f>HYPERLINK("D:\python\英语学习\voices\"&amp;B651&amp;"_1.mp3","BrE")</f>
        <v/>
      </c>
      <c r="H651" s="18">
        <f>HYPERLINK("D:\python\英语学习\voices\"&amp;B651&amp;"_2.mp3","AmE")</f>
        <v/>
      </c>
      <c r="I651" s="18">
        <f>HYPERLINK("http://dict.youdao.com/w/"&amp;B651,"有道")</f>
        <v/>
      </c>
    </row>
    <row r="652">
      <c r="B652" s="1" t="inlineStr">
        <is>
          <t>enclose</t>
        </is>
      </c>
      <c r="C652" s="7">
        <f>"vt. 围绕；装入；放入封套"</f>
        <v/>
      </c>
      <c r="G652" s="18">
        <f>HYPERLINK("D:\python\英语学习\voices\"&amp;B652&amp;"_1.mp3","BrE")</f>
        <v/>
      </c>
      <c r="H652" s="18">
        <f>HYPERLINK("D:\python\英语学习\voices\"&amp;B652&amp;"_2.mp3","AmE")</f>
        <v/>
      </c>
      <c r="I652" s="18">
        <f>HYPERLINK("http://dict.youdao.com/w/"&amp;B652,"有道")</f>
        <v/>
      </c>
    </row>
    <row r="653">
      <c r="B653" s="1" t="inlineStr">
        <is>
          <t>endanger</t>
        </is>
      </c>
      <c r="C653" s="7">
        <f>"vt. 危及；使遭到危险"</f>
        <v/>
      </c>
      <c r="G653" s="18">
        <f>HYPERLINK("D:\python\英语学习\voices\"&amp;B653&amp;"_1.mp3","BrE")</f>
        <v/>
      </c>
      <c r="H653" s="18">
        <f>HYPERLINK("D:\python\英语学习\voices\"&amp;B653&amp;"_2.mp3","AmE")</f>
        <v/>
      </c>
      <c r="I653" s="18">
        <f>HYPERLINK("http://dict.youdao.com/w/"&amp;B653,"有道")</f>
        <v/>
      </c>
    </row>
    <row customHeight="1" ht="42.75" r="654">
      <c r="B654" s="1" t="inlineStr">
        <is>
          <t>endeavor</t>
        </is>
      </c>
      <c r="C654" s="7">
        <f>"n. 努力；尽力（等于endeavour）"&amp;CHAR(10)&amp;"vi. 努力；尽力（等于endeavour）"&amp;CHAR(10)&amp;"vt. 努力；尽力（等于endeavour）"</f>
        <v/>
      </c>
      <c r="E654" s="6" t="inlineStr">
        <is>
          <t>注意拼写-or</t>
        </is>
      </c>
      <c r="G654" s="18">
        <f>HYPERLINK("D:\python\英语学习\voices\"&amp;B654&amp;"_1.mp3","BrE")</f>
        <v/>
      </c>
      <c r="H654" s="18">
        <f>HYPERLINK("D:\python\英语学习\voices\"&amp;B654&amp;"_2.mp3","AmE")</f>
        <v/>
      </c>
      <c r="I654" s="18">
        <f>HYPERLINK("http://dict.youdao.com/w/"&amp;B654,"有道")</f>
        <v/>
      </c>
    </row>
    <row r="655">
      <c r="B655" s="1" t="inlineStr">
        <is>
          <t>endow</t>
        </is>
      </c>
      <c r="C655" s="7">
        <f>"vt. 赋予；捐赠；天生具有"</f>
        <v/>
      </c>
      <c r="G655" s="18">
        <f>HYPERLINK("D:\python\英语学习\voices\"&amp;B655&amp;"_1.mp3","BrE")</f>
        <v/>
      </c>
      <c r="H655" s="18">
        <f>HYPERLINK("D:\python\英语学习\voices\"&amp;B655&amp;"_2.mp3","AmE")</f>
        <v/>
      </c>
      <c r="I655" s="18">
        <f>HYPERLINK("http://dict.youdao.com/w/"&amp;B655,"有道")</f>
        <v/>
      </c>
    </row>
    <row customHeight="1" ht="28.5" r="656">
      <c r="A656" s="1" t="inlineStr">
        <is>
          <t>important</t>
        </is>
      </c>
      <c r="B656" s="1" t="inlineStr">
        <is>
          <t>parody</t>
        </is>
      </c>
      <c r="C656" s="7">
        <f>"n. 拙劣的模仿；诙谐的改编诗文"&amp;CHAR(10)&amp;"vt. 拙劣模仿"</f>
        <v/>
      </c>
      <c r="E656" s="6" t="inlineStr">
        <is>
          <t>恶搞</t>
        </is>
      </c>
      <c r="G656" s="18">
        <f>HYPERLINK("D:\python\英语学习\voices\"&amp;B656&amp;"_1.mp3","BrE")</f>
        <v/>
      </c>
      <c r="H656" s="18">
        <f>HYPERLINK("D:\python\英语学习\voices\"&amp;B656&amp;"_2.mp3","AmE")</f>
        <v/>
      </c>
      <c r="I656" s="18">
        <f>HYPERLINK("http://dict.youdao.com/w/"&amp;B656,"有道")</f>
        <v/>
      </c>
    </row>
    <row customHeight="1" ht="28.5" r="657">
      <c r="A657" s="1" t="inlineStr">
        <is>
          <t>important</t>
        </is>
      </c>
      <c r="B657" s="1" t="inlineStr">
        <is>
          <t>comprehensive</t>
        </is>
      </c>
      <c r="C657" s="7">
        <f>"adj. 综合的；广泛的；有理解力的"&amp;CHAR(10)&amp;"n. 综合学校；专业综合测验"</f>
        <v/>
      </c>
      <c r="G657" s="18">
        <f>HYPERLINK("D:\python\英语学习\voices\"&amp;B657&amp;"_1.mp3","BrE")</f>
        <v/>
      </c>
      <c r="H657" s="18">
        <f>HYPERLINK("D:\python\英语学习\voices\"&amp;B657&amp;"_2.mp3","AmE")</f>
        <v/>
      </c>
      <c r="I657" s="18">
        <f>HYPERLINK("http://dict.youdao.com/w/"&amp;B657,"有道")</f>
        <v/>
      </c>
    </row>
    <row customHeight="1" ht="42.75" r="658">
      <c r="B658" s="1" t="inlineStr">
        <is>
          <t>engagement</t>
        </is>
      </c>
      <c r="C658" s="7">
        <f>"n. 婚约；约会；交战；诺言"&amp;CHAR(10)&amp;"n. 参与度（指用户点赞、转发、评论、下载文档、观看视频、咨询等交互行为）"</f>
        <v/>
      </c>
      <c r="G658" s="18">
        <f>HYPERLINK("D:\python\英语学习\voices\"&amp;B658&amp;"_1.mp3","BrE")</f>
        <v/>
      </c>
      <c r="H658" s="18">
        <f>HYPERLINK("D:\python\英语学习\voices\"&amp;B658&amp;"_2.mp3","AmE")</f>
        <v/>
      </c>
      <c r="I658" s="18">
        <f>HYPERLINK("http://dict.youdao.com/w/"&amp;B658,"有道")</f>
        <v/>
      </c>
    </row>
    <row customHeight="1" ht="28.5" r="659">
      <c r="A659" t="inlineStr">
        <is>
          <t>important</t>
        </is>
      </c>
      <c r="B659" s="1" t="inlineStr">
        <is>
          <t>crucial</t>
        </is>
      </c>
      <c r="C659" s="7">
        <f>"adj. 重要的；决定性的；定局的；决断的"</f>
        <v/>
      </c>
      <c r="E659" s="16" t="inlineStr">
        <is>
          <t>be crucial to 替换important</t>
        </is>
      </c>
      <c r="G659" s="18">
        <f>HYPERLINK("D:\python\英语学习\voices\"&amp;B659&amp;"_1.mp3","BrE")</f>
        <v/>
      </c>
      <c r="H659" s="18">
        <f>HYPERLINK("D:\python\英语学习\voices\"&amp;B659&amp;"_2.mp3","AmE")</f>
        <v/>
      </c>
      <c r="I659" s="18">
        <f>HYPERLINK("http://dict.youdao.com/w/"&amp;B659,"有道")</f>
        <v/>
      </c>
    </row>
    <row r="660">
      <c r="B660" s="1" t="inlineStr">
        <is>
          <t>enhance</t>
        </is>
      </c>
      <c r="C660" s="7">
        <f>"vt. 提高；加强；增加"</f>
        <v/>
      </c>
      <c r="G660" s="18">
        <f>HYPERLINK("D:\python\英语学习\voices\"&amp;B660&amp;"_1.mp3","BrE")</f>
        <v/>
      </c>
      <c r="H660" s="18">
        <f>HYPERLINK("D:\python\英语学习\voices\"&amp;B660&amp;"_2.mp3","AmE")</f>
        <v/>
      </c>
      <c r="I660" s="18">
        <f>HYPERLINK("http://dict.youdao.com/w/"&amp;B660,"有道")</f>
        <v/>
      </c>
    </row>
    <row r="661">
      <c r="B661" s="1" t="inlineStr">
        <is>
          <t>enlighten</t>
        </is>
      </c>
      <c r="C661" s="7">
        <f>"vt. 启发，启蒙；教导，开导；照耀"</f>
        <v/>
      </c>
      <c r="G661" s="18">
        <f>HYPERLINK("D:\python\英语学习\voices\"&amp;B661&amp;"_1.mp3","BrE")</f>
        <v/>
      </c>
      <c r="H661" s="18">
        <f>HYPERLINK("D:\python\英语学习\voices\"&amp;B661&amp;"_2.mp3","AmE")</f>
        <v/>
      </c>
      <c r="I661" s="18">
        <f>HYPERLINK("http://dict.youdao.com/w/"&amp;B661,"有道")</f>
        <v/>
      </c>
    </row>
    <row r="662">
      <c r="B662" s="1" t="inlineStr">
        <is>
          <t>enlightment</t>
        </is>
      </c>
      <c r="C662" s="7">
        <f>"n. 启蒙"</f>
        <v/>
      </c>
      <c r="G662" s="18">
        <f>HYPERLINK("D:\python\英语学习\voices\"&amp;B662&amp;"_1.mp3","BrE")</f>
        <v/>
      </c>
      <c r="H662" s="18">
        <f>HYPERLINK("D:\python\英语学习\voices\"&amp;B662&amp;"_2.mp3","AmE")</f>
        <v/>
      </c>
      <c r="I662" s="18">
        <f>HYPERLINK("http://dict.youdao.com/w/"&amp;B662,"有道")</f>
        <v/>
      </c>
    </row>
    <row customHeight="1" ht="28.5" r="663">
      <c r="B663" s="1" t="inlineStr">
        <is>
          <t>enquire</t>
        </is>
      </c>
      <c r="C663" s="7">
        <f>"vi. 询问；调查；问候（等于inquire）"&amp;CHAR(10)&amp;"vt. 询问；打听"</f>
        <v/>
      </c>
      <c r="G663" s="18">
        <f>HYPERLINK("D:\python\英语学习\voices\"&amp;B663&amp;"_1.mp3","BrE")</f>
        <v/>
      </c>
      <c r="H663" s="18">
        <f>HYPERLINK("D:\python\英语学习\voices\"&amp;B663&amp;"_2.mp3","AmE")</f>
        <v/>
      </c>
      <c r="I663" s="18">
        <f>HYPERLINK("http://dict.youdao.com/w/"&amp;B663,"有道")</f>
        <v/>
      </c>
    </row>
    <row customHeight="1" ht="28.5" r="664">
      <c r="B664" s="1" t="inlineStr">
        <is>
          <t>enroll</t>
        </is>
      </c>
      <c r="C664" s="7">
        <f>"vt. 登记；使加入；把...记入名册；使入伍"&amp;CHAR(10)&amp;"vi. 参加；登记；注册；记入名册"</f>
        <v/>
      </c>
      <c r="G664" s="18">
        <f>HYPERLINK("D:\python\英语学习\voices\"&amp;B664&amp;"_1.mp3","BrE")</f>
        <v/>
      </c>
      <c r="H664" s="18">
        <f>HYPERLINK("D:\python\英语学习\voices\"&amp;B664&amp;"_2.mp3","AmE")</f>
        <v/>
      </c>
      <c r="I664" s="18">
        <f>HYPERLINK("http://dict.youdao.com/w/"&amp;B664,"有道")</f>
        <v/>
      </c>
    </row>
    <row customHeight="1" ht="28.5" r="665">
      <c r="B665" s="1" t="inlineStr">
        <is>
          <t>ensue</t>
        </is>
      </c>
      <c r="C665" s="7">
        <f>"vi. 跟着发生，接着发生；继起"&amp;CHAR(10)&amp;"vt. 追求"</f>
        <v/>
      </c>
      <c r="G665" s="18">
        <f>HYPERLINK("D:\python\英语学习\voices\"&amp;B665&amp;"_1.mp3","BrE")</f>
        <v/>
      </c>
      <c r="H665" s="18">
        <f>HYPERLINK("D:\python\英语学习\voices\"&amp;B665&amp;"_2.mp3","AmE")</f>
        <v/>
      </c>
      <c r="I665" s="18">
        <f>HYPERLINK("http://dict.youdao.com/w/"&amp;B665,"有道")</f>
        <v/>
      </c>
    </row>
    <row customHeight="1" ht="42.75" r="666">
      <c r="A666" s="1" t="inlineStr">
        <is>
          <t>important</t>
        </is>
      </c>
      <c r="B666" s="1" t="inlineStr">
        <is>
          <t>dedicated</t>
        </is>
      </c>
      <c r="C666" s="7">
        <f>"adj. 专用的；专注的；献身的"&amp;CHAR(10)&amp;"v. 以…奉献；把…用于（dedicate的过去式和过去分词）"</f>
        <v/>
      </c>
      <c r="G666" s="18">
        <f>HYPERLINK("D:\python\英语学习\voices\"&amp;B666&amp;"_1.mp3","BrE")</f>
        <v/>
      </c>
      <c r="H666" s="18">
        <f>HYPERLINK("D:\python\英语学习\voices\"&amp;B666&amp;"_2.mp3","AmE")</f>
        <v/>
      </c>
      <c r="I666" s="18">
        <f>HYPERLINK("http://dict.youdao.com/w/"&amp;B666,"有道")</f>
        <v/>
      </c>
    </row>
    <row customHeight="1" ht="28.5" r="667">
      <c r="B667" s="1" t="inlineStr">
        <is>
          <t>entreat</t>
        </is>
      </c>
      <c r="C667" s="7">
        <f>"vt. 恳求；请求"&amp;CHAR(10)&amp;"vi. 恳求；乞求"</f>
        <v/>
      </c>
      <c r="G667" s="18">
        <f>HYPERLINK("D:\python\英语学习\voices\"&amp;B667&amp;"_1.mp3","BrE")</f>
        <v/>
      </c>
      <c r="H667" s="18">
        <f>HYPERLINK("D:\python\英语学习\voices\"&amp;B667&amp;"_2.mp3","AmE")</f>
        <v/>
      </c>
      <c r="I667" s="18">
        <f>HYPERLINK("http://dict.youdao.com/w/"&amp;B667,"有道")</f>
        <v/>
      </c>
    </row>
    <row r="668">
      <c r="B668" s="1" t="inlineStr">
        <is>
          <t>entrepreneurial</t>
        </is>
      </c>
      <c r="C668" s="7">
        <f>"adj. 企业家的，创业者的；中间商的"</f>
        <v/>
      </c>
      <c r="G668" s="18">
        <f>HYPERLINK("D:\python\英语学习\voices\"&amp;B668&amp;"_1.mp3","BrE")</f>
        <v/>
      </c>
      <c r="H668" s="18">
        <f>HYPERLINK("D:\python\英语学习\voices\"&amp;B668&amp;"_2.mp3","AmE")</f>
        <v/>
      </c>
      <c r="I668" s="18">
        <f>HYPERLINK("http://dict.youdao.com/w/"&amp;B668,"有道")</f>
        <v/>
      </c>
    </row>
    <row r="669">
      <c r="B669" s="1" t="inlineStr">
        <is>
          <t>envoy</t>
        </is>
      </c>
      <c r="C669" s="7">
        <f>"n. 使者；全权公使"</f>
        <v/>
      </c>
      <c r="G669" s="18">
        <f>HYPERLINK("D:\python\英语学习\voices\"&amp;B669&amp;"_1.mp3","BrE")</f>
        <v/>
      </c>
      <c r="H669" s="18">
        <f>HYPERLINK("D:\python\英语学习\voices\"&amp;B669&amp;"_2.mp3","AmE")</f>
        <v/>
      </c>
      <c r="I669" s="18">
        <f>HYPERLINK("http://dict.youdao.com/w/"&amp;B669,"有道")</f>
        <v/>
      </c>
    </row>
    <row r="670">
      <c r="B670" s="1" t="inlineStr">
        <is>
          <t>ephemera</t>
        </is>
      </c>
      <c r="C670" s="7">
        <f>"n. 蜉蝣"</f>
        <v/>
      </c>
      <c r="G670" s="18">
        <f>HYPERLINK("D:\python\英语学习\voices\"&amp;B670&amp;"_1.mp3","BrE")</f>
        <v/>
      </c>
      <c r="H670" s="18">
        <f>HYPERLINK("D:\python\英语学习\voices\"&amp;B670&amp;"_2.mp3","AmE")</f>
        <v/>
      </c>
      <c r="I670" s="18">
        <f>HYPERLINK("http://dict.youdao.com/w/"&amp;B670,"有道")</f>
        <v/>
      </c>
    </row>
    <row customHeight="1" ht="28.5" r="671">
      <c r="A671" s="1" t="inlineStr">
        <is>
          <t>important</t>
        </is>
      </c>
      <c r="B671" s="1" t="inlineStr">
        <is>
          <t>desperate</t>
        </is>
      </c>
      <c r="C671" s="7">
        <f>"adj. 不顾一切的；令人绝望的；极度渴望的"</f>
        <v/>
      </c>
      <c r="G671" s="18">
        <f>HYPERLINK("D:\python\英语学习\voices\"&amp;B671&amp;"_1.mp3","BrE")</f>
        <v/>
      </c>
      <c r="H671" s="18">
        <f>HYPERLINK("D:\python\英语学习\voices\"&amp;B671&amp;"_2.mp3","AmE")</f>
        <v/>
      </c>
      <c r="I671" s="18">
        <f>HYPERLINK("http://dict.youdao.com/w/"&amp;B671,"有道")</f>
        <v/>
      </c>
    </row>
    <row r="672">
      <c r="B672" s="1" t="inlineStr">
        <is>
          <t>epidemiology</t>
        </is>
      </c>
      <c r="C672" s="7">
        <f>"n. 流行病学；传染病学"</f>
        <v/>
      </c>
      <c r="G672" s="18">
        <f>HYPERLINK("D:\python\英语学习\voices\"&amp;B672&amp;"_1.mp3","BrE")</f>
        <v/>
      </c>
      <c r="H672" s="18">
        <f>HYPERLINK("D:\python\英语学习\voices\"&amp;B672&amp;"_2.mp3","AmE")</f>
        <v/>
      </c>
      <c r="I672" s="18">
        <f>HYPERLINK("http://dict.youdao.com/w/"&amp;B672,"有道")</f>
        <v/>
      </c>
    </row>
    <row r="673">
      <c r="B673" s="1" t="inlineStr">
        <is>
          <t>episode</t>
        </is>
      </c>
      <c r="C673" s="7">
        <f>"n. 插曲；一段情节；插话；有趣的事件"</f>
        <v/>
      </c>
      <c r="G673" s="18">
        <f>HYPERLINK("D:\python\英语学习\voices\"&amp;B673&amp;"_1.mp3","BrE")</f>
        <v/>
      </c>
      <c r="H673" s="18">
        <f>HYPERLINK("D:\python\英语学习\voices\"&amp;B673&amp;"_2.mp3","AmE")</f>
        <v/>
      </c>
      <c r="I673" s="18">
        <f>HYPERLINK("http://dict.youdao.com/w/"&amp;B673,"有道")</f>
        <v/>
      </c>
    </row>
    <row customHeight="1" ht="29.1" r="674">
      <c r="B674" s="1" t="inlineStr">
        <is>
          <t>epoch</t>
        </is>
      </c>
      <c r="C674" s="7">
        <f>"n. [地质] 世；新纪元；新时代；时间上的一点"</f>
        <v/>
      </c>
      <c r="G674" s="18">
        <f>HYPERLINK("D:\python\英语学习\voices\"&amp;B674&amp;"_1.mp3","BrE")</f>
        <v/>
      </c>
      <c r="H674" s="18">
        <f>HYPERLINK("D:\python\英语学习\voices\"&amp;B674&amp;"_2.mp3","AmE")</f>
        <v/>
      </c>
      <c r="I674" s="18">
        <f>HYPERLINK("http://dict.youdao.com/w/"&amp;B674,"有道")</f>
        <v/>
      </c>
    </row>
    <row r="675">
      <c r="B675" s="1" t="inlineStr">
        <is>
          <t>equality</t>
        </is>
      </c>
      <c r="C675" s="7">
        <f>"n. 平等；相等；[数] 等式"</f>
        <v/>
      </c>
      <c r="G675" s="18">
        <f>HYPERLINK("D:\python\英语学习\voices\"&amp;B675&amp;"_1.mp3","BrE")</f>
        <v/>
      </c>
      <c r="H675" s="18">
        <f>HYPERLINK("D:\python\英语学习\voices\"&amp;B675&amp;"_2.mp3","AmE")</f>
        <v/>
      </c>
      <c r="I675" s="18">
        <f>HYPERLINK("http://dict.youdao.com/w/"&amp;B675,"有道")</f>
        <v/>
      </c>
    </row>
    <row r="676">
      <c r="B676" s="1" t="inlineStr">
        <is>
          <t>equation</t>
        </is>
      </c>
      <c r="C676" s="7">
        <f>"n. 方程式，等式；相等；[化学] 反应式"</f>
        <v/>
      </c>
      <c r="G676" s="18">
        <f>HYPERLINK("D:\python\英语学习\voices\"&amp;B676&amp;"_1.mp3","BrE")</f>
        <v/>
      </c>
      <c r="H676" s="18">
        <f>HYPERLINK("D:\python\英语学习\voices\"&amp;B676&amp;"_2.mp3","AmE")</f>
        <v/>
      </c>
      <c r="I676" s="18">
        <f>HYPERLINK("http://dict.youdao.com/w/"&amp;B676,"有道")</f>
        <v/>
      </c>
    </row>
    <row r="677">
      <c r="B677" s="1" t="inlineStr">
        <is>
          <t>equilibrium</t>
        </is>
      </c>
      <c r="C677" s="7">
        <f>"n. 均衡；平静；保持平衡的能力"</f>
        <v/>
      </c>
      <c r="G677" s="18">
        <f>HYPERLINK("D:\python\英语学习\voices\"&amp;B677&amp;"_1.mp3","BrE")</f>
        <v/>
      </c>
      <c r="H677" s="18">
        <f>HYPERLINK("D:\python\英语学习\voices\"&amp;B677&amp;"_2.mp3","AmE")</f>
        <v/>
      </c>
      <c r="I677" s="18">
        <f>HYPERLINK("http://dict.youdao.com/w/"&amp;B677,"有道")</f>
        <v/>
      </c>
    </row>
    <row r="678">
      <c r="B678" s="1" t="inlineStr">
        <is>
          <t>eradicate</t>
        </is>
      </c>
      <c r="C678" s="7">
        <f>"vt. 根除，根绝；消灭"</f>
        <v/>
      </c>
      <c r="G678" s="18">
        <f>HYPERLINK("D:\python\英语学习\voices\"&amp;B678&amp;"_1.mp3","BrE")</f>
        <v/>
      </c>
      <c r="H678" s="18">
        <f>HYPERLINK("D:\python\英语学习\voices\"&amp;B678&amp;"_2.mp3","AmE")</f>
        <v/>
      </c>
      <c r="I678" s="18">
        <f>HYPERLINK("http://dict.youdao.com/w/"&amp;B678,"有道")</f>
        <v/>
      </c>
    </row>
    <row customHeight="1" ht="42.75" r="679">
      <c r="B679" s="1" t="inlineStr">
        <is>
          <t>erect</t>
        </is>
      </c>
      <c r="C679" s="7">
        <f>"vt. 使竖立；建造；安装"&amp;CHAR(10)&amp;"adj. 竖立的；笔直的；因性刺激而勃起的"&amp;CHAR(10)&amp;"vi. 直立；勃起"</f>
        <v/>
      </c>
      <c r="G679" s="18">
        <f>HYPERLINK("D:\python\英语学习\voices\"&amp;B679&amp;"_1.mp3","BrE")</f>
        <v/>
      </c>
      <c r="H679" s="18">
        <f>HYPERLINK("D:\python\英语学习\voices\"&amp;B679&amp;"_2.mp3","AmE")</f>
        <v/>
      </c>
      <c r="I679" s="18">
        <f>HYPERLINK("http://dict.youdao.com/w/"&amp;B679,"有道")</f>
        <v/>
      </c>
    </row>
    <row r="680">
      <c r="B680" s="1" t="inlineStr">
        <is>
          <t>erection</t>
        </is>
      </c>
      <c r="C680" s="7">
        <f>"n. 勃起；建造；建筑物；直立"</f>
        <v/>
      </c>
      <c r="E680" s="6" t="inlineStr">
        <is>
          <t>erectile dysfunction，ED</t>
        </is>
      </c>
      <c r="G680" s="18">
        <f>HYPERLINK("D:\python\英语学习\voices\"&amp;B680&amp;"_1.mp3","BrE")</f>
        <v/>
      </c>
      <c r="H680" s="18">
        <f>HYPERLINK("D:\python\英语学习\voices\"&amp;B680&amp;"_2.mp3","AmE")</f>
        <v/>
      </c>
      <c r="I680" s="18">
        <f>HYPERLINK("http://dict.youdao.com/w/"&amp;B680,"有道")</f>
        <v/>
      </c>
    </row>
    <row r="681">
      <c r="B681" s="1" t="inlineStr">
        <is>
          <t>erosion</t>
        </is>
      </c>
      <c r="C681" s="7">
        <f>"n. 侵蚀，腐蚀"</f>
        <v/>
      </c>
      <c r="G681" s="18">
        <f>HYPERLINK("D:\python\英语学习\voices\"&amp;B681&amp;"_1.mp3","BrE")</f>
        <v/>
      </c>
      <c r="H681" s="18">
        <f>HYPERLINK("D:\python\英语学习\voices\"&amp;B681&amp;"_2.mp3","AmE")</f>
        <v/>
      </c>
      <c r="I681" s="18">
        <f>HYPERLINK("http://dict.youdao.com/w/"&amp;B681,"有道")</f>
        <v/>
      </c>
    </row>
    <row r="682">
      <c r="B682" s="1" t="inlineStr">
        <is>
          <t>errand</t>
        </is>
      </c>
      <c r="C682" s="7">
        <f>"n. 使命；差事；差使"</f>
        <v/>
      </c>
      <c r="G682" s="18">
        <f>HYPERLINK("D:\python\英语学习\voices\"&amp;B682&amp;"_1.mp3","BrE")</f>
        <v/>
      </c>
      <c r="H682" s="18">
        <f>HYPERLINK("D:\python\英语学习\voices\"&amp;B682&amp;"_2.mp3","AmE")</f>
        <v/>
      </c>
      <c r="I682" s="18">
        <f>HYPERLINK("http://dict.youdao.com/w/"&amp;B682,"有道")</f>
        <v/>
      </c>
    </row>
    <row r="683">
      <c r="B683" s="1" t="inlineStr">
        <is>
          <t>erroneous</t>
        </is>
      </c>
      <c r="C683" s="7">
        <f>"adj. 错误的；不正确的"</f>
        <v/>
      </c>
      <c r="G683" s="18">
        <f>HYPERLINK("D:\python\英语学习\voices\"&amp;B683&amp;"_1.mp3","BrE")</f>
        <v/>
      </c>
      <c r="H683" s="18">
        <f>HYPERLINK("D:\python\英语学习\voices\"&amp;B683&amp;"_2.mp3","AmE")</f>
        <v/>
      </c>
      <c r="I683" s="18">
        <f>HYPERLINK("http://dict.youdao.com/w/"&amp;B683,"有道")</f>
        <v/>
      </c>
    </row>
    <row customHeight="1" ht="28.5" r="684">
      <c r="B684" s="1" t="inlineStr">
        <is>
          <t>escalate</t>
        </is>
      </c>
      <c r="C684" s="7">
        <f>"vi. 逐步增强；逐步升高"&amp;CHAR(10)&amp;"vt. 使逐步上升"</f>
        <v/>
      </c>
      <c r="G684" s="18">
        <f>HYPERLINK("D:\python\英语学习\voices\"&amp;B684&amp;"_1.mp3","BrE")</f>
        <v/>
      </c>
      <c r="H684" s="18">
        <f>HYPERLINK("D:\python\英语学习\voices\"&amp;B684&amp;"_2.mp3","AmE")</f>
        <v/>
      </c>
      <c r="I684" s="18">
        <f>HYPERLINK("http://dict.youdao.com/w/"&amp;B684,"有道")</f>
        <v/>
      </c>
    </row>
    <row customHeight="1" ht="28.5" r="685">
      <c r="B685" s="1" t="inlineStr">
        <is>
          <t>escort</t>
        </is>
      </c>
      <c r="C685" s="7">
        <f>"n. 陪同；护航舰；护卫队；护送者"&amp;CHAR(10)&amp;"vt. 护送；陪同；为…护航"</f>
        <v/>
      </c>
      <c r="G685" s="18">
        <f>HYPERLINK("D:\python\英语学习\voices\"&amp;B685&amp;"_1.mp3","BrE")</f>
        <v/>
      </c>
      <c r="H685" s="18">
        <f>HYPERLINK("D:\python\英语学习\voices\"&amp;B685&amp;"_2.mp3","AmE")</f>
        <v/>
      </c>
      <c r="I685" s="18">
        <f>HYPERLINK("http://dict.youdao.com/w/"&amp;B685,"有道")</f>
        <v/>
      </c>
    </row>
    <row customHeight="1" ht="28.5" r="686">
      <c r="B686" s="1" t="inlineStr">
        <is>
          <t>essence</t>
        </is>
      </c>
      <c r="C686" s="7">
        <f>"n. 本质，实质；精华；香精"&amp;CHAR(10)&amp;"n. (Essence)人名；(英)埃森丝"</f>
        <v/>
      </c>
      <c r="G686" s="18">
        <f>HYPERLINK("D:\python\英语学习\voices\"&amp;B686&amp;"_1.mp3","BrE")</f>
        <v/>
      </c>
      <c r="H686" s="18">
        <f>HYPERLINK("D:\python\英语学习\voices\"&amp;B686&amp;"_2.mp3","AmE")</f>
        <v/>
      </c>
      <c r="I686" s="18">
        <f>HYPERLINK("http://dict.youdao.com/w/"&amp;B686,"有道")</f>
        <v/>
      </c>
    </row>
    <row r="687">
      <c r="B687" s="1" t="inlineStr">
        <is>
          <t>estate</t>
        </is>
      </c>
      <c r="C687" s="7">
        <f>"n. 房地产；财产；身份"</f>
        <v/>
      </c>
      <c r="G687" s="18">
        <f>HYPERLINK("D:\python\英语学习\voices\"&amp;B687&amp;"_1.mp3","BrE")</f>
        <v/>
      </c>
      <c r="H687" s="18">
        <f>HYPERLINK("D:\python\英语学习\voices\"&amp;B687&amp;"_2.mp3","AmE")</f>
        <v/>
      </c>
      <c r="I687" s="18">
        <f>HYPERLINK("http://dict.youdao.com/w/"&amp;B687,"有道")</f>
        <v/>
      </c>
    </row>
    <row customHeight="1" ht="28.5" r="688">
      <c r="B688" s="1" t="inlineStr">
        <is>
          <t>esteem</t>
        </is>
      </c>
      <c r="C688" s="7">
        <f>"vt. 尊敬；认为；考虑；估价"&amp;CHAR(10)&amp;"n. 尊重；尊敬"</f>
        <v/>
      </c>
      <c r="E688" s="6" t="inlineStr">
        <is>
          <t>self-esteem 自尊</t>
        </is>
      </c>
      <c r="G688" s="18">
        <f>HYPERLINK("D:\python\英语学习\voices\"&amp;B688&amp;"_1.mp3","BrE")</f>
        <v/>
      </c>
      <c r="H688" s="18">
        <f>HYPERLINK("D:\python\英语学习\voices\"&amp;B688&amp;"_2.mp3","AmE")</f>
        <v/>
      </c>
      <c r="I688" s="18">
        <f>HYPERLINK("http://dict.youdao.com/w/"&amp;B688,"有道")</f>
        <v/>
      </c>
    </row>
    <row r="689">
      <c r="A689" s="1" t="inlineStr">
        <is>
          <t>unnecessary</t>
        </is>
      </c>
      <c r="B689" s="1" t="inlineStr">
        <is>
          <t>estuary</t>
        </is>
      </c>
      <c r="C689" s="7">
        <f>"n. 河口；江口"</f>
        <v/>
      </c>
      <c r="G689" s="18">
        <f>HYPERLINK("D:\python\英语学习\voices\"&amp;B689&amp;"_1.mp3","BrE")</f>
        <v/>
      </c>
      <c r="H689" s="18">
        <f>HYPERLINK("D:\python\英语学习\voices\"&amp;B689&amp;"_2.mp3","AmE")</f>
        <v/>
      </c>
      <c r="I689" s="18">
        <f>HYPERLINK("http://dict.youdao.com/w/"&amp;B689,"有道")</f>
        <v/>
      </c>
    </row>
    <row customHeight="1" ht="42.75" r="690">
      <c r="B690" s="1" t="inlineStr">
        <is>
          <t>etch</t>
        </is>
      </c>
      <c r="C690" s="7">
        <f>"vt. 蚀刻；鲜明地描述；铭记"&amp;CHAR(10)&amp;"vi. 蚀刻"&amp;CHAR(10)&amp;"n. 刻蚀；腐蚀剂"</f>
        <v/>
      </c>
      <c r="G690" s="18">
        <f>HYPERLINK("D:\python\英语学习\voices\"&amp;B690&amp;"_1.mp3","BrE")</f>
        <v/>
      </c>
      <c r="H690" s="18">
        <f>HYPERLINK("D:\python\英语学习\voices\"&amp;B690&amp;"_2.mp3","AmE")</f>
        <v/>
      </c>
      <c r="I690" s="18">
        <f>HYPERLINK("http://dict.youdao.com/w/"&amp;B690,"有道")</f>
        <v/>
      </c>
    </row>
    <row r="691">
      <c r="B691" s="1" t="inlineStr">
        <is>
          <t>ethanol</t>
        </is>
      </c>
      <c r="C691" s="7">
        <f>"n. [有化] 乙醇，[有化] 酒精"</f>
        <v/>
      </c>
      <c r="G691" s="18">
        <f>HYPERLINK("D:\python\英语学习\voices\"&amp;B691&amp;"_1.mp3","BrE")</f>
        <v/>
      </c>
      <c r="H691" s="18">
        <f>HYPERLINK("D:\python\英语学习\voices\"&amp;B691&amp;"_2.mp3","AmE")</f>
        <v/>
      </c>
      <c r="I691" s="18">
        <f>HYPERLINK("http://dict.youdao.com/w/"&amp;B691,"有道")</f>
        <v/>
      </c>
    </row>
    <row customHeight="1" ht="28.5" r="692">
      <c r="B692" s="1" t="inlineStr">
        <is>
          <t>ethic</t>
        </is>
      </c>
      <c r="C692" s="7">
        <f>"n. 伦理；道德规范"&amp;CHAR(10)&amp;"adj. 伦理的；道德的（等于ethical）"</f>
        <v/>
      </c>
      <c r="G692" s="18">
        <f>HYPERLINK("D:\python\英语学习\voices\"&amp;B692&amp;"_1.mp3","BrE")</f>
        <v/>
      </c>
      <c r="H692" s="18">
        <f>HYPERLINK("D:\python\英语学习\voices\"&amp;B692&amp;"_2.mp3","AmE")</f>
        <v/>
      </c>
      <c r="I692" s="18">
        <f>HYPERLINK("http://dict.youdao.com/w/"&amp;B692,"有道")</f>
        <v/>
      </c>
    </row>
    <row customHeight="1" ht="28.5" r="693">
      <c r="B693" s="1" t="inlineStr">
        <is>
          <t>evade</t>
        </is>
      </c>
      <c r="C693" s="7">
        <f>"vt. 逃避；规避；逃脱"&amp;CHAR(10)&amp;"vi. 逃避；规避；逃脱"</f>
        <v/>
      </c>
      <c r="G693" s="18">
        <f>HYPERLINK("D:\python\英语学习\voices\"&amp;B693&amp;"_1.mp3","BrE")</f>
        <v/>
      </c>
      <c r="H693" s="18">
        <f>HYPERLINK("D:\python\英语学习\voices\"&amp;B693&amp;"_2.mp3","AmE")</f>
        <v/>
      </c>
      <c r="I693" s="18">
        <f>HYPERLINK("http://dict.youdao.com/w/"&amp;B693,"有道")</f>
        <v/>
      </c>
    </row>
    <row r="694">
      <c r="B694" s="1" t="inlineStr">
        <is>
          <t>eventuality</t>
        </is>
      </c>
      <c r="C694" s="7">
        <f>"n. 可能性；可能发生的事；不测的事"</f>
        <v/>
      </c>
      <c r="G694" s="18">
        <f>HYPERLINK("D:\python\英语学习\voices\"&amp;B694&amp;"_1.mp3","BrE")</f>
        <v/>
      </c>
      <c r="H694" s="18">
        <f>HYPERLINK("D:\python\英语学习\voices\"&amp;B694&amp;"_2.mp3","AmE")</f>
        <v/>
      </c>
      <c r="I694" s="18">
        <f>HYPERLINK("http://dict.youdao.com/w/"&amp;B694,"有道")</f>
        <v/>
      </c>
    </row>
    <row r="695">
      <c r="B695" s="1" t="inlineStr">
        <is>
          <t>everlasting</t>
        </is>
      </c>
      <c r="C695" s="7">
        <f>"adj. 永恒的；接连不断的"</f>
        <v/>
      </c>
      <c r="G695" s="18">
        <f>HYPERLINK("D:\python\英语学习\voices\"&amp;B695&amp;"_1.mp3","BrE")</f>
        <v/>
      </c>
      <c r="H695" s="18">
        <f>HYPERLINK("D:\python\英语学习\voices\"&amp;B695&amp;"_2.mp3","AmE")</f>
        <v/>
      </c>
      <c r="I695" s="18">
        <f>HYPERLINK("http://dict.youdao.com/w/"&amp;B695,"有道")</f>
        <v/>
      </c>
    </row>
    <row customHeight="1" ht="28.5" r="696">
      <c r="B696" s="1" t="inlineStr">
        <is>
          <t>exaggerate</t>
        </is>
      </c>
      <c r="C696" s="7">
        <f>"vt. 使扩大；使增大"&amp;CHAR(10)&amp;"vi. 夸大；夸张"</f>
        <v/>
      </c>
      <c r="G696" s="18">
        <f>HYPERLINK("D:\python\英语学习\voices\"&amp;B696&amp;"_1.mp3","BrE")</f>
        <v/>
      </c>
      <c r="H696" s="18">
        <f>HYPERLINK("D:\python\英语学习\voices\"&amp;B696&amp;"_2.mp3","AmE")</f>
        <v/>
      </c>
      <c r="I696" s="18">
        <f>HYPERLINK("http://dict.youdao.com/w/"&amp;B696,"有道")</f>
        <v/>
      </c>
    </row>
    <row customHeight="1" ht="28.5" r="697">
      <c r="B697" s="1" t="inlineStr">
        <is>
          <t>excavate</t>
        </is>
      </c>
      <c r="C697" s="7">
        <f>"vt. 挖掘；开凿"&amp;CHAR(10)&amp;"vi. 发掘；细查"</f>
        <v/>
      </c>
      <c r="G697" s="18">
        <f>HYPERLINK("D:\python\英语学习\voices\"&amp;B697&amp;"_1.mp3","BrE")</f>
        <v/>
      </c>
      <c r="H697" s="18">
        <f>HYPERLINK("D:\python\英语学习\voices\"&amp;B697&amp;"_2.mp3","AmE")</f>
        <v/>
      </c>
      <c r="I697" s="18">
        <f>HYPERLINK("http://dict.youdao.com/w/"&amp;B697,"有道")</f>
        <v/>
      </c>
    </row>
    <row r="698">
      <c r="B698" s="1" t="inlineStr">
        <is>
          <t>excavation</t>
        </is>
      </c>
      <c r="C698" s="7">
        <f>"n. 挖掘，发掘"</f>
        <v/>
      </c>
      <c r="G698" s="18">
        <f>HYPERLINK("D:\python\英语学习\voices\"&amp;B698&amp;"_1.mp3","BrE")</f>
        <v/>
      </c>
      <c r="H698" s="18">
        <f>HYPERLINK("D:\python\英语学习\voices\"&amp;B698&amp;"_2.mp3","AmE")</f>
        <v/>
      </c>
      <c r="I698" s="18">
        <f>HYPERLINK("http://dict.youdao.com/w/"&amp;B698,"有道")</f>
        <v/>
      </c>
    </row>
    <row r="699">
      <c r="A699" s="1" t="inlineStr">
        <is>
          <t>important</t>
        </is>
      </c>
      <c r="B699" s="1" t="inlineStr">
        <is>
          <t>elite</t>
        </is>
      </c>
      <c r="C699" s="7">
        <f>"n. 精英；精华；中坚分子"</f>
        <v/>
      </c>
      <c r="E699" s="6" t="inlineStr">
        <is>
          <t>少但精</t>
        </is>
      </c>
      <c r="G699" s="18">
        <f>HYPERLINK("D:\python\英语学习\voices\"&amp;B699&amp;"_1.mp3","BrE")</f>
        <v/>
      </c>
      <c r="H699" s="18">
        <f>HYPERLINK("D:\python\英语学习\voices\"&amp;B699&amp;"_2.mp3","AmE")</f>
        <v/>
      </c>
      <c r="I699" s="18">
        <f>HYPERLINK("http://dict.youdao.com/w/"&amp;B699,"有道")</f>
        <v/>
      </c>
    </row>
    <row customHeight="1" ht="28.5" r="700">
      <c r="B700" s="1" t="inlineStr">
        <is>
          <t>excel</t>
        </is>
      </c>
      <c r="C700" s="7">
        <f>"vt. 超过；擅长"&amp;CHAR(10)&amp;"vi. (在某方面)胜过(或超过)别人"</f>
        <v/>
      </c>
      <c r="G700" s="18">
        <f>HYPERLINK("D:\python\英语学习\voices\"&amp;B700&amp;"_1.mp3","BrE")</f>
        <v/>
      </c>
      <c r="H700" s="18">
        <f>HYPERLINK("D:\python\英语学习\voices\"&amp;B700&amp;"_2.mp3","AmE")</f>
        <v/>
      </c>
      <c r="I700" s="18">
        <f>HYPERLINK("http://dict.youdao.com/w/"&amp;B700,"有道")</f>
        <v/>
      </c>
    </row>
    <row customHeight="1" ht="28.5" r="701">
      <c r="A701" s="1" t="inlineStr">
        <is>
          <t>important</t>
        </is>
      </c>
      <c r="B701" s="1" t="inlineStr">
        <is>
          <t>namely</t>
        </is>
      </c>
      <c r="C701" s="7">
        <f>"adv. 也就是；即是；换句话说"</f>
        <v/>
      </c>
      <c r="G701" s="18">
        <f>HYPERLINK("D:\python\英语学习\voices\"&amp;B701&amp;"_1.mp3","BrE")</f>
        <v/>
      </c>
      <c r="H701" s="18">
        <f>HYPERLINK("D:\python\英语学习\voices\"&amp;B701&amp;"_2.mp3","AmE")</f>
        <v/>
      </c>
      <c r="I701" s="18">
        <f>HYPERLINK("http://dict.youdao.com/w/"&amp;B701,"有道")</f>
        <v/>
      </c>
    </row>
    <row customHeight="1" ht="28.5" r="702">
      <c r="B702" s="1" t="inlineStr">
        <is>
          <t>excess</t>
        </is>
      </c>
      <c r="C702" s="7">
        <f>"n. 超过，超额；过度，过量；无节制"&amp;CHAR(10)&amp;"adj. 额外的，过量的；附加的"</f>
        <v/>
      </c>
      <c r="G702" s="18">
        <f>HYPERLINK("D:\python\英语学习\voices\"&amp;B702&amp;"_1.mp3","BrE")</f>
        <v/>
      </c>
      <c r="H702" s="18">
        <f>HYPERLINK("D:\python\英语学习\voices\"&amp;B702&amp;"_2.mp3","AmE")</f>
        <v/>
      </c>
      <c r="I702" s="18">
        <f>HYPERLINK("http://dict.youdao.com/w/"&amp;B702,"有道")</f>
        <v/>
      </c>
    </row>
    <row r="703">
      <c r="B703" s="1" t="inlineStr">
        <is>
          <t>excessive</t>
        </is>
      </c>
      <c r="C703" s="7">
        <f>"adj. 过多的，极度的；过分的"</f>
        <v/>
      </c>
      <c r="G703" s="18">
        <f>HYPERLINK("D:\python\英语学习\voices\"&amp;B703&amp;"_1.mp3","BrE")</f>
        <v/>
      </c>
      <c r="H703" s="18">
        <f>HYPERLINK("D:\python\英语学习\voices\"&amp;B703&amp;"_2.mp3","AmE")</f>
        <v/>
      </c>
      <c r="I703" s="18">
        <f>HYPERLINK("http://dict.youdao.com/w/"&amp;B703,"有道")</f>
        <v/>
      </c>
    </row>
    <row customHeight="1" ht="28.5" r="704">
      <c r="B704" s="1" t="inlineStr">
        <is>
          <t>excise</t>
        </is>
      </c>
      <c r="C704" s="7">
        <f>"vt. 切除；收税"&amp;CHAR(10)&amp;"n. 消费税；货物税"</f>
        <v/>
      </c>
      <c r="G704" s="18">
        <f>HYPERLINK("D:\python\英语学习\voices\"&amp;B704&amp;"_1.mp3","BrE")</f>
        <v/>
      </c>
      <c r="H704" s="18">
        <f>HYPERLINK("D:\python\英语学习\voices\"&amp;B704&amp;"_2.mp3","AmE")</f>
        <v/>
      </c>
      <c r="I704" s="18">
        <f>HYPERLINK("http://dict.youdao.com/w/"&amp;B704,"有道")</f>
        <v/>
      </c>
    </row>
    <row customHeight="1" ht="28.5" r="705">
      <c r="B705" s="1" t="inlineStr">
        <is>
          <t>exclaim</t>
        </is>
      </c>
      <c r="C705" s="7">
        <f>"vi. 呼喊，惊叫；大声叫嚷"&amp;CHAR(10)&amp;"vt. 大声说出"</f>
        <v/>
      </c>
      <c r="G705" s="18">
        <f>HYPERLINK("D:\python\英语学习\voices\"&amp;B705&amp;"_1.mp3","BrE")</f>
        <v/>
      </c>
      <c r="H705" s="18">
        <f>HYPERLINK("D:\python\英语学习\voices\"&amp;B705&amp;"_2.mp3","AmE")</f>
        <v/>
      </c>
      <c r="I705" s="18">
        <f>HYPERLINK("http://dict.youdao.com/w/"&amp;B705,"有道")</f>
        <v/>
      </c>
    </row>
    <row r="706">
      <c r="B706" s="1" t="inlineStr">
        <is>
          <t>exclamation</t>
        </is>
      </c>
      <c r="C706" s="7">
        <f>"n. 感叹；惊叫；惊叹词"</f>
        <v/>
      </c>
      <c r="G706" s="18">
        <f>HYPERLINK("D:\python\英语学习\voices\"&amp;B706&amp;"_1.mp3","BrE")</f>
        <v/>
      </c>
      <c r="H706" s="18">
        <f>HYPERLINK("D:\python\英语学习\voices\"&amp;B706&amp;"_2.mp3","AmE")</f>
        <v/>
      </c>
      <c r="I706" s="18">
        <f>HYPERLINK("http://dict.youdao.com/w/"&amp;B706,"有道")</f>
        <v/>
      </c>
    </row>
    <row r="707">
      <c r="B707" s="1" t="inlineStr">
        <is>
          <t>exclusively</t>
        </is>
      </c>
      <c r="C707" s="7">
        <f>"adv. 唯一地；专有地；排外地"</f>
        <v/>
      </c>
      <c r="G707" s="18">
        <f>HYPERLINK("D:\python\英语学习\voices\"&amp;B707&amp;"_1.mp3","BrE")</f>
        <v/>
      </c>
      <c r="H707" s="18">
        <f>HYPERLINK("D:\python\英语学习\voices\"&amp;B707&amp;"_2.mp3","AmE")</f>
        <v/>
      </c>
      <c r="I707" s="18">
        <f>HYPERLINK("http://dict.youdao.com/w/"&amp;B707,"有道")</f>
        <v/>
      </c>
    </row>
    <row customHeight="1" ht="28.5" r="708">
      <c r="B708" s="1" t="inlineStr">
        <is>
          <t>excursion</t>
        </is>
      </c>
      <c r="C708" s="7">
        <f>"n. 偏移；远足；短程旅行；离题；游览，游览团"</f>
        <v/>
      </c>
      <c r="G708" s="18">
        <f>HYPERLINK("D:\python\英语学习\voices\"&amp;B708&amp;"_1.mp3","BrE")</f>
        <v/>
      </c>
      <c r="H708" s="18">
        <f>HYPERLINK("D:\python\英语学习\voices\"&amp;B708&amp;"_2.mp3","AmE")</f>
        <v/>
      </c>
      <c r="I708" s="18">
        <f>HYPERLINK("http://dict.youdao.com/w/"&amp;B708,"有道")</f>
        <v/>
      </c>
    </row>
    <row customHeight="1" ht="42.75" r="709">
      <c r="B709" s="1" t="inlineStr">
        <is>
          <t>excuse</t>
        </is>
      </c>
      <c r="C709" s="7">
        <f>"n. 借口；理由"&amp;CHAR(10)&amp;"vt. 原谅；为…申辩；给…免去"&amp;CHAR(10)&amp;"vi. 作为借口；请求宽恕；表示宽恕"</f>
        <v/>
      </c>
      <c r="G709" s="18">
        <f>HYPERLINK("D:\python\英语学习\voices\"&amp;B709&amp;"_1.mp3","BrE")</f>
        <v/>
      </c>
      <c r="H709" s="18">
        <f>HYPERLINK("D:\python\英语学习\voices\"&amp;B709&amp;"_2.mp3","AmE")</f>
        <v/>
      </c>
      <c r="I709" s="18">
        <f>HYPERLINK("http://dict.youdao.com/w/"&amp;B709,"有道")</f>
        <v/>
      </c>
    </row>
    <row r="710">
      <c r="B710" s="1" t="inlineStr">
        <is>
          <t>execution</t>
        </is>
      </c>
      <c r="C710" s="7">
        <f>"n. 执行，实行；完成；死刑"</f>
        <v/>
      </c>
      <c r="G710" s="18">
        <f>HYPERLINK("D:\python\英语学习\voices\"&amp;B710&amp;"_1.mp3","BrE")</f>
        <v/>
      </c>
      <c r="H710" s="18">
        <f>HYPERLINK("D:\python\英语学习\voices\"&amp;B710&amp;"_2.mp3","AmE")</f>
        <v/>
      </c>
      <c r="I710" s="18">
        <f>HYPERLINK("http://dict.youdao.com/w/"&amp;B710,"有道")</f>
        <v/>
      </c>
    </row>
    <row customHeight="1" ht="42.75" r="711">
      <c r="B711" s="1" t="inlineStr">
        <is>
          <t>exempt</t>
        </is>
      </c>
      <c r="C711" s="7">
        <f>"vt. 免除；豁免"&amp;CHAR(10)&amp;"adj. 被免除的；被豁免的"&amp;CHAR(10)&amp;"n. 免税者；被免除义务者"</f>
        <v/>
      </c>
      <c r="G711" s="18">
        <f>HYPERLINK("D:\python\英语学习\voices\"&amp;B711&amp;"_1.mp3","BrE")</f>
        <v/>
      </c>
      <c r="H711" s="18">
        <f>HYPERLINK("D:\python\英语学习\voices\"&amp;B711&amp;"_2.mp3","AmE")</f>
        <v/>
      </c>
      <c r="I711" s="18">
        <f>HYPERLINK("http://dict.youdao.com/w/"&amp;B711,"有道")</f>
        <v/>
      </c>
    </row>
    <row r="712">
      <c r="A712" t="inlineStr">
        <is>
          <t>important</t>
        </is>
      </c>
      <c r="B712" s="1" t="inlineStr">
        <is>
          <t>exert</t>
        </is>
      </c>
      <c r="C712" s="7">
        <f>"vt. 运用，发挥；施以影响"</f>
        <v/>
      </c>
      <c r="E712" s="6" t="inlineStr">
        <is>
          <t>exert influence on施加影响</t>
        </is>
      </c>
      <c r="G712" s="18">
        <f>HYPERLINK("D:\python\英语学习\voices\"&amp;B712&amp;"_1.mp3","BrE")</f>
        <v/>
      </c>
      <c r="H712" s="18">
        <f>HYPERLINK("D:\python\英语学习\voices\"&amp;B712&amp;"_2.mp3","AmE")</f>
        <v/>
      </c>
      <c r="I712" s="18">
        <f>HYPERLINK("http://dict.youdao.com/w/"&amp;B712,"有道")</f>
        <v/>
      </c>
    </row>
    <row customHeight="1" ht="28.5" r="713">
      <c r="B713" s="1" t="inlineStr">
        <is>
          <t>exile</t>
        </is>
      </c>
      <c r="C713" s="7">
        <f>"n. 流放，充军；放逐，被放逐者；流犯"&amp;CHAR(10)&amp;"vt. 放逐，流放；使背井离乡"</f>
        <v/>
      </c>
      <c r="G713" s="18">
        <f>HYPERLINK("D:\python\英语学习\voices\"&amp;B713&amp;"_1.mp3","BrE")</f>
        <v/>
      </c>
      <c r="H713" s="18">
        <f>HYPERLINK("D:\python\英语学习\voices\"&amp;B713&amp;"_2.mp3","AmE")</f>
        <v/>
      </c>
      <c r="I713" s="18">
        <f>HYPERLINK("http://dict.youdao.com/w/"&amp;B713,"有道")</f>
        <v/>
      </c>
    </row>
    <row customHeight="1" ht="28.5" r="714">
      <c r="B714" s="1" t="inlineStr">
        <is>
          <t>expectant</t>
        </is>
      </c>
      <c r="C714" s="7">
        <f>"adj. 期待的；怀孕的；预期中的"&amp;CHAR(10)&amp;"n. 期待者；候选人"</f>
        <v/>
      </c>
      <c r="G714" s="18">
        <f>HYPERLINK("D:\python\英语学习\voices\"&amp;B714&amp;"_1.mp3","BrE")</f>
        <v/>
      </c>
      <c r="H714" s="18">
        <f>HYPERLINK("D:\python\英语学习\voices\"&amp;B714&amp;"_2.mp3","AmE")</f>
        <v/>
      </c>
      <c r="I714" s="18">
        <f>HYPERLINK("http://dict.youdao.com/w/"&amp;B714,"有道")</f>
        <v/>
      </c>
    </row>
    <row r="715">
      <c r="B715" s="1" t="inlineStr">
        <is>
          <t>expedition</t>
        </is>
      </c>
      <c r="C715" s="7">
        <f>"n. 远征；探险队；迅速"</f>
        <v/>
      </c>
      <c r="G715" s="18">
        <f>HYPERLINK("D:\python\英语学习\voices\"&amp;B715&amp;"_1.mp3","BrE")</f>
        <v/>
      </c>
      <c r="H715" s="18">
        <f>HYPERLINK("D:\python\英语学习\voices\"&amp;B715&amp;"_2.mp3","AmE")</f>
        <v/>
      </c>
      <c r="I715" s="18">
        <f>HYPERLINK("http://dict.youdao.com/w/"&amp;B715,"有道")</f>
        <v/>
      </c>
    </row>
    <row r="716">
      <c r="B716" s="1" t="inlineStr">
        <is>
          <t>expel</t>
        </is>
      </c>
      <c r="C716" s="7">
        <f>"vt. 驱逐；开除"</f>
        <v/>
      </c>
      <c r="G716" s="18">
        <f>HYPERLINK("D:\python\英语学习\voices\"&amp;B716&amp;"_1.mp3","BrE")</f>
        <v/>
      </c>
      <c r="H716" s="18">
        <f>HYPERLINK("D:\python\英语学习\voices\"&amp;B716&amp;"_2.mp3","AmE")</f>
        <v/>
      </c>
      <c r="I716" s="18">
        <f>HYPERLINK("http://dict.youdao.com/w/"&amp;B716,"有道")</f>
        <v/>
      </c>
    </row>
    <row r="717">
      <c r="B717" s="1" t="inlineStr">
        <is>
          <t>expend</t>
        </is>
      </c>
      <c r="C717" s="7">
        <f>"vt. 花费；消耗；用光；耗尽"</f>
        <v/>
      </c>
      <c r="E717" s="6" t="inlineStr">
        <is>
          <t>不是expand，=spend</t>
        </is>
      </c>
      <c r="G717" s="18">
        <f>HYPERLINK("D:\python\英语学习\voices\"&amp;B717&amp;"_1.mp3","BrE")</f>
        <v/>
      </c>
      <c r="H717" s="18">
        <f>HYPERLINK("D:\python\英语学习\voices\"&amp;B717&amp;"_2.mp3","AmE")</f>
        <v/>
      </c>
      <c r="I717" s="18">
        <f>HYPERLINK("http://dict.youdao.com/w/"&amp;B717,"有道")</f>
        <v/>
      </c>
    </row>
    <row r="718">
      <c r="B718" s="1" t="inlineStr">
        <is>
          <t>expenditure</t>
        </is>
      </c>
      <c r="C718" s="7">
        <f>"n. 支出，花费；经费，消费额"</f>
        <v/>
      </c>
      <c r="G718" s="18">
        <f>HYPERLINK("D:\python\英语学习\voices\"&amp;B718&amp;"_1.mp3","BrE")</f>
        <v/>
      </c>
      <c r="H718" s="18">
        <f>HYPERLINK("D:\python\英语学习\voices\"&amp;B718&amp;"_2.mp3","AmE")</f>
        <v/>
      </c>
      <c r="I718" s="18">
        <f>HYPERLINK("http://dict.youdao.com/w/"&amp;B718,"有道")</f>
        <v/>
      </c>
    </row>
    <row r="719">
      <c r="B719" s="1" t="inlineStr">
        <is>
          <t>explanatory</t>
        </is>
      </c>
      <c r="C719" s="7">
        <f>"adj. 解释的；说明的"</f>
        <v/>
      </c>
      <c r="E719" s="6" t="inlineStr">
        <is>
          <t>注意拼写</t>
        </is>
      </c>
      <c r="G719" s="18">
        <f>HYPERLINK("D:\python\英语学习\voices\"&amp;B719&amp;"_1.mp3","BrE")</f>
        <v/>
      </c>
      <c r="H719" s="18">
        <f>HYPERLINK("D:\python\英语学习\voices\"&amp;B719&amp;"_2.mp3","AmE")</f>
        <v/>
      </c>
      <c r="I719" s="18">
        <f>HYPERLINK("http://dict.youdao.com/w/"&amp;B719,"有道")</f>
        <v/>
      </c>
    </row>
    <row r="720">
      <c r="B720" s="1" t="inlineStr">
        <is>
          <t>explicit</t>
        </is>
      </c>
      <c r="C720" s="7">
        <f>"adj. 明确的；清楚的；直率的；详述的"</f>
        <v/>
      </c>
      <c r="G720" s="18">
        <f>HYPERLINK("D:\python\英语学习\voices\"&amp;B720&amp;"_1.mp3","BrE")</f>
        <v/>
      </c>
      <c r="H720" s="18">
        <f>HYPERLINK("D:\python\英语学习\voices\"&amp;B720&amp;"_2.mp3","AmE")</f>
        <v/>
      </c>
      <c r="I720" s="18">
        <f>HYPERLINK("http://dict.youdao.com/w/"&amp;B720,"有道")</f>
        <v/>
      </c>
    </row>
    <row r="721">
      <c r="A721" s="1" t="inlineStr">
        <is>
          <t>unnecessary</t>
        </is>
      </c>
      <c r="B721" s="1" t="inlineStr">
        <is>
          <t>exporter</t>
        </is>
      </c>
      <c r="C721" s="7">
        <f>"n. 出口商；输出国"</f>
        <v/>
      </c>
      <c r="G721" s="18">
        <f>HYPERLINK("D:\python\英语学习\voices\"&amp;B721&amp;"_1.mp3","BrE")</f>
        <v/>
      </c>
      <c r="H721" s="18">
        <f>HYPERLINK("D:\python\英语学习\voices\"&amp;B721&amp;"_2.mp3","AmE")</f>
        <v/>
      </c>
      <c r="I721" s="18">
        <f>HYPERLINK("http://dict.youdao.com/w/"&amp;B721,"有道")</f>
        <v/>
      </c>
    </row>
    <row r="722">
      <c r="B722" s="1" t="inlineStr">
        <is>
          <t>exposition</t>
        </is>
      </c>
      <c r="C722" s="7">
        <f>"n. 博览会；阐述；展览会"</f>
        <v/>
      </c>
      <c r="G722" s="18">
        <f>HYPERLINK("D:\python\英语学习\voices\"&amp;B722&amp;"_1.mp3","BrE")</f>
        <v/>
      </c>
      <c r="H722" s="18">
        <f>HYPERLINK("D:\python\英语学习\voices\"&amp;B722&amp;"_2.mp3","AmE")</f>
        <v/>
      </c>
      <c r="I722" s="18">
        <f>HYPERLINK("http://dict.youdao.com/w/"&amp;B722,"有道")</f>
        <v/>
      </c>
    </row>
    <row customHeight="1" ht="42.75" r="723">
      <c r="A723" s="1" t="inlineStr">
        <is>
          <t>important</t>
        </is>
      </c>
      <c r="B723" s="1" t="inlineStr">
        <is>
          <t>ostensibly</t>
        </is>
      </c>
      <c r="C723" s="7">
        <f>"adv. 表面上；外表"</f>
        <v/>
      </c>
      <c r="E723" s="6" t="inlineStr">
        <is>
          <t>也可以有obviously的意思</t>
        </is>
      </c>
      <c r="G723" s="18">
        <f>HYPERLINK("D:\python\英语学习\voices\"&amp;B723&amp;"_1.mp3","BrE")</f>
        <v/>
      </c>
      <c r="H723" s="18">
        <f>HYPERLINK("D:\python\英语学习\voices\"&amp;B723&amp;"_2.mp3","AmE")</f>
        <v/>
      </c>
      <c r="I723" s="18">
        <f>HYPERLINK("http://dict.youdao.com/w/"&amp;B723,"有道")</f>
        <v/>
      </c>
    </row>
    <row customHeight="1" ht="28.5" r="724">
      <c r="A724" t="inlineStr">
        <is>
          <t>important</t>
        </is>
      </c>
      <c r="B724" s="1" t="inlineStr">
        <is>
          <t>tremendous</t>
        </is>
      </c>
      <c r="C724" s="7">
        <f>"adj. 极大的，巨大的；惊人的；极好的"</f>
        <v/>
      </c>
      <c r="E724" s="6" t="inlineStr">
        <is>
          <t>同enormous</t>
        </is>
      </c>
      <c r="G724" s="18">
        <f>HYPERLINK("D:\python\英语学习\voices\"&amp;B724&amp;"_1.mp3","BrE")</f>
        <v/>
      </c>
      <c r="H724" s="18">
        <f>HYPERLINK("D:\python\英语学习\voices\"&amp;B724&amp;"_2.mp3","AmE")</f>
        <v/>
      </c>
      <c r="I724" s="18">
        <f>HYPERLINK("http://dict.youdao.com/w/"&amp;B724,"有道")</f>
        <v/>
      </c>
    </row>
    <row r="725">
      <c r="B725" s="1" t="inlineStr">
        <is>
          <t>extinguish</t>
        </is>
      </c>
      <c r="C725" s="7">
        <f>"vt. 熄灭；压制；偿清"</f>
        <v/>
      </c>
      <c r="G725" s="18">
        <f>HYPERLINK("D:\python\英语学习\voices\"&amp;B725&amp;"_1.mp3","BrE")</f>
        <v/>
      </c>
      <c r="H725" s="18">
        <f>HYPERLINK("D:\python\英语学习\voices\"&amp;B725&amp;"_2.mp3","AmE")</f>
        <v/>
      </c>
      <c r="I725" s="18">
        <f>HYPERLINK("http://dict.youdao.com/w/"&amp;B725,"有道")</f>
        <v/>
      </c>
    </row>
    <row customHeight="1" ht="28.5" r="726">
      <c r="B726" s="1" t="inlineStr">
        <is>
          <t>extract</t>
        </is>
      </c>
      <c r="C726" s="7">
        <f>"vt. 提取；取出；摘录；榨取"&amp;CHAR(10)&amp;"n. 汁；摘录；榨出物；选粹"</f>
        <v/>
      </c>
      <c r="G726" s="18">
        <f>HYPERLINK("D:\python\英语学习\voices\"&amp;B726&amp;"_1.mp3","BrE")</f>
        <v/>
      </c>
      <c r="H726" s="18">
        <f>HYPERLINK("D:\python\英语学习\voices\"&amp;B726&amp;"_2.mp3","AmE")</f>
        <v/>
      </c>
      <c r="I726" s="18">
        <f>HYPERLINK("http://dict.youdao.com/w/"&amp;B726,"有道")</f>
        <v/>
      </c>
    </row>
    <row r="727">
      <c r="B727" s="1" t="inlineStr">
        <is>
          <t>extraordinarily</t>
        </is>
      </c>
      <c r="C727" s="7">
        <f>"adv. 非常；格外地；非凡地"</f>
        <v/>
      </c>
      <c r="G727" s="18">
        <f>HYPERLINK("D:\python\英语学习\voices\"&amp;B727&amp;"_1.mp3","BrE")</f>
        <v/>
      </c>
      <c r="H727" s="18">
        <f>HYPERLINK("D:\python\英语学习\voices\"&amp;B727&amp;"_2.mp3","AmE")</f>
        <v/>
      </c>
      <c r="I727" s="18">
        <f>HYPERLINK("http://dict.youdao.com/w/"&amp;B727,"有道")</f>
        <v/>
      </c>
    </row>
    <row r="728">
      <c r="B728" s="1" t="inlineStr">
        <is>
          <t>extravagant</t>
        </is>
      </c>
      <c r="C728" s="7">
        <f>"adj. 奢侈的；浪费的；过度的；放纵的"</f>
        <v/>
      </c>
      <c r="G728" s="18">
        <f>HYPERLINK("D:\python\英语学习\voices\"&amp;B728&amp;"_1.mp3","BrE")</f>
        <v/>
      </c>
      <c r="H728" s="18">
        <f>HYPERLINK("D:\python\英语学习\voices\"&amp;B728&amp;"_2.mp3","AmE")</f>
        <v/>
      </c>
      <c r="I728" s="18">
        <f>HYPERLINK("http://dict.youdao.com/w/"&amp;B728,"有道")</f>
        <v/>
      </c>
    </row>
    <row r="729">
      <c r="B729" s="1" t="inlineStr">
        <is>
          <t>fabricate</t>
        </is>
      </c>
      <c r="C729" s="7">
        <f>"vt. 制造；伪造；装配"</f>
        <v/>
      </c>
      <c r="G729" s="18">
        <f>HYPERLINK("D:\python\英语学习\voices\"&amp;B729&amp;"_1.mp3","BrE")</f>
        <v/>
      </c>
      <c r="H729" s="18">
        <f>HYPERLINK("D:\python\英语学习\voices\"&amp;B729&amp;"_2.mp3","AmE")</f>
        <v/>
      </c>
      <c r="I729" s="18">
        <f>HYPERLINK("http://dict.youdao.com/w/"&amp;B729,"有道")</f>
        <v/>
      </c>
    </row>
    <row r="730">
      <c r="B730" s="1" t="inlineStr">
        <is>
          <t>facade</t>
        </is>
      </c>
      <c r="C730" s="7">
        <f>"n. 正面；表面；外观"</f>
        <v/>
      </c>
      <c r="G730" s="18">
        <f>HYPERLINK("D:\python\英语学习\voices\"&amp;B730&amp;"_1.mp3","BrE")</f>
        <v/>
      </c>
      <c r="H730" s="18">
        <f>HYPERLINK("D:\python\英语学习\voices\"&amp;B730&amp;"_2.mp3","AmE")</f>
        <v/>
      </c>
      <c r="I730" s="18">
        <f>HYPERLINK("http://dict.youdao.com/w/"&amp;B730,"有道")</f>
        <v/>
      </c>
    </row>
    <row customHeight="1" ht="28.5" r="731">
      <c r="B731" s="1" t="inlineStr">
        <is>
          <t>facet</t>
        </is>
      </c>
      <c r="C731" s="7">
        <f>"n. 面；方面；小平面"&amp;CHAR(10)&amp;"vt. 在…上琢面"</f>
        <v/>
      </c>
      <c r="E731" s="16" t="inlineStr">
        <is>
          <t>'=aspect</t>
        </is>
      </c>
      <c r="G731" s="18">
        <f>HYPERLINK("D:\python\英语学习\voices\"&amp;B731&amp;"_1.mp3","BrE")</f>
        <v/>
      </c>
      <c r="H731" s="18">
        <f>HYPERLINK("D:\python\英语学习\voices\"&amp;B731&amp;"_2.mp3","AmE")</f>
        <v/>
      </c>
      <c r="I731" s="18">
        <f>HYPERLINK("http://dict.youdao.com/w/"&amp;B731,"有道")</f>
        <v/>
      </c>
    </row>
    <row r="732">
      <c r="B732" s="1" t="inlineStr">
        <is>
          <t>facilitate</t>
        </is>
      </c>
      <c r="C732" s="7">
        <f>"vt. 促进；帮助；使容易"</f>
        <v/>
      </c>
      <c r="G732" s="18">
        <f>HYPERLINK("D:\python\英语学习\voices\"&amp;B732&amp;"_1.mp3","BrE")</f>
        <v/>
      </c>
      <c r="H732" s="18">
        <f>HYPERLINK("D:\python\英语学习\voices\"&amp;B732&amp;"_2.mp3","AmE")</f>
        <v/>
      </c>
      <c r="I732" s="18">
        <f>HYPERLINK("http://dict.youdao.com/w/"&amp;B732,"有道")</f>
        <v/>
      </c>
    </row>
    <row r="733">
      <c r="B733" s="1" t="inlineStr">
        <is>
          <t>faintly</t>
        </is>
      </c>
      <c r="C733" s="7">
        <f>"adv. 微弱地；模糊地；虚弱地"</f>
        <v/>
      </c>
      <c r="G733" s="18">
        <f>HYPERLINK("D:\python\英语学习\voices\"&amp;B733&amp;"_1.mp3","BrE")</f>
        <v/>
      </c>
      <c r="H733" s="18">
        <f>HYPERLINK("D:\python\英语学习\voices\"&amp;B733&amp;"_2.mp3","AmE")</f>
        <v/>
      </c>
      <c r="I733" s="18">
        <f>HYPERLINK("http://dict.youdao.com/w/"&amp;B733,"有道")</f>
        <v/>
      </c>
    </row>
    <row customHeight="1" ht="28.5" r="734">
      <c r="B734" s="1" t="inlineStr">
        <is>
          <t>fairy</t>
        </is>
      </c>
      <c r="C734" s="7">
        <f>"n. 仙女，小精灵；漂亮姑娘"&amp;CHAR(10)&amp;"adj. 虚构的；仙女的"</f>
        <v/>
      </c>
      <c r="G734" s="18">
        <f>HYPERLINK("D:\python\英语学习\voices\"&amp;B734&amp;"_1.mp3","BrE")</f>
        <v/>
      </c>
      <c r="H734" s="18">
        <f>HYPERLINK("D:\python\英语学习\voices\"&amp;B734&amp;"_2.mp3","AmE")</f>
        <v/>
      </c>
      <c r="I734" s="18">
        <f>HYPERLINK("http://dict.youdao.com/w/"&amp;B734,"有道")</f>
        <v/>
      </c>
    </row>
    <row customHeight="1" ht="57" r="735">
      <c r="B735" s="1" t="inlineStr">
        <is>
          <t>falter</t>
        </is>
      </c>
      <c r="C735" s="7">
        <f>"vi. 支吾；蹒跚地走"&amp;CHAR(10)&amp;"vt. 支吾地说；结巴地讲出"&amp;CHAR(10)&amp;"n. 踌躇；支吾；颤抖"&amp;CHAR(10)&amp;"n. (Falter)人名；(英)福尔特；(德、捷)法尔特"</f>
        <v/>
      </c>
      <c r="G735" s="18">
        <f>HYPERLINK("D:\python\英语学习\voices\"&amp;B735&amp;"_1.mp3","BrE")</f>
        <v/>
      </c>
      <c r="H735" s="18">
        <f>HYPERLINK("D:\python\英语学习\voices\"&amp;B735&amp;"_2.mp3","AmE")</f>
        <v/>
      </c>
      <c r="I735" s="18">
        <f>HYPERLINK("http://dict.youdao.com/w/"&amp;B735,"有道")</f>
        <v/>
      </c>
    </row>
    <row customHeight="1" ht="42.75" r="736">
      <c r="B736" s="1" t="inlineStr">
        <is>
          <t>fantastic</t>
        </is>
      </c>
      <c r="C736" s="7">
        <f>"adj. 奇异的；空想的；异想天开的；古怪的；极好的，极出色的；不可思议的；不切实际的"&amp;CHAR(10)&amp;"n. 古怪的人"</f>
        <v/>
      </c>
      <c r="G736" s="18">
        <f>HYPERLINK("D:\python\英语学习\voices\"&amp;B736&amp;"_1.mp3","BrE")</f>
        <v/>
      </c>
      <c r="H736" s="18">
        <f>HYPERLINK("D:\python\英语学习\voices\"&amp;B736&amp;"_2.mp3","AmE")</f>
        <v/>
      </c>
      <c r="I736" s="18">
        <f>HYPERLINK("http://dict.youdao.com/w/"&amp;B736,"有道")</f>
        <v/>
      </c>
    </row>
    <row r="737">
      <c r="A737" s="1" t="inlineStr">
        <is>
          <t>important</t>
        </is>
      </c>
      <c r="B737" s="1" t="inlineStr">
        <is>
          <t>unprecedented</t>
        </is>
      </c>
      <c r="C737" s="7">
        <f>"adj. 空前的；无前例的"</f>
        <v/>
      </c>
      <c r="G737" s="18">
        <f>HYPERLINK("D:\python\英语学习\voices\"&amp;B737&amp;"_1.mp3","BrE")</f>
        <v/>
      </c>
      <c r="H737" s="18">
        <f>HYPERLINK("D:\python\英语学习\voices\"&amp;B737&amp;"_2.mp3","AmE")</f>
        <v/>
      </c>
      <c r="I737" s="18">
        <f>HYPERLINK("http://dict.youdao.com/w/"&amp;B737,"有道")</f>
        <v/>
      </c>
    </row>
    <row customHeight="1" ht="28.5" r="738">
      <c r="A738" t="inlineStr">
        <is>
          <t>unnecessary</t>
        </is>
      </c>
      <c r="B738" s="1" t="inlineStr">
        <is>
          <t>fatty</t>
        </is>
      </c>
      <c r="C738" s="7">
        <f>"adj. 脂肪的；肥胖的；多脂肪的；脂肪过多的"&amp;CHAR(10)&amp;"n. 胖子"</f>
        <v/>
      </c>
      <c r="G738" s="18">
        <f>HYPERLINK("D:\python\英语学习\voices\"&amp;B738&amp;"_1.mp3","BrE")</f>
        <v/>
      </c>
      <c r="H738" s="18">
        <f>HYPERLINK("D:\python\英语学习\voices\"&amp;B738&amp;"_2.mp3","AmE")</f>
        <v/>
      </c>
      <c r="I738" s="18">
        <f>HYPERLINK("http://dict.youdao.com/w/"&amp;B738,"有道")</f>
        <v/>
      </c>
    </row>
    <row r="739">
      <c r="B739" s="1" t="inlineStr">
        <is>
          <t>faultless</t>
        </is>
      </c>
      <c r="C739" s="7">
        <f>"adj. 完美的；无缺点的"</f>
        <v/>
      </c>
      <c r="G739" s="18">
        <f>HYPERLINK("D:\python\英语学习\voices\"&amp;B739&amp;"_1.mp3","BrE")</f>
        <v/>
      </c>
      <c r="H739" s="18">
        <f>HYPERLINK("D:\python\英语学习\voices\"&amp;B739&amp;"_2.mp3","AmE")</f>
        <v/>
      </c>
      <c r="I739" s="18">
        <f>HYPERLINK("http://dict.youdao.com/w/"&amp;B739,"有道")</f>
        <v/>
      </c>
    </row>
    <row customHeight="1" ht="28.5" r="740">
      <c r="A740" s="1" t="inlineStr">
        <is>
          <t>important</t>
        </is>
      </c>
      <c r="B740" s="1" t="inlineStr">
        <is>
          <t>abuse</t>
        </is>
      </c>
      <c r="C740" s="7">
        <f>"n. 滥用；虐待；辱骂；弊端；恶习，陋习"&amp;CHAR(10)&amp;"vt. 滥用；虐待；辱骂"&amp;CHAR(10)&amp;"n. (Abuse)人名；(英)阿比斯"</f>
        <v/>
      </c>
      <c r="G740" s="18">
        <f>HYPERLINK("D:\python\英语学习\voices\"&amp;B740&amp;"_1.mp3","BrE")</f>
        <v/>
      </c>
      <c r="H740" s="18">
        <f>HYPERLINK("D:\python\英语学习\voices\"&amp;B740&amp;"_2.mp3","AmE")</f>
        <v/>
      </c>
      <c r="I740" s="18">
        <f>HYPERLINK("http://dict.youdao.com/w/"&amp;B740,"有道")</f>
        <v/>
      </c>
    </row>
    <row r="741">
      <c r="B741" s="1" t="inlineStr">
        <is>
          <t>feasible</t>
        </is>
      </c>
      <c r="C741" s="7">
        <f>"adj. 可行的；可能的；可实行的"</f>
        <v/>
      </c>
      <c r="G741" s="18">
        <f>HYPERLINK("D:\python\英语学习\voices\"&amp;B741&amp;"_1.mp3","BrE")</f>
        <v/>
      </c>
      <c r="H741" s="18">
        <f>HYPERLINK("D:\python\英语学习\voices\"&amp;B741&amp;"_2.mp3","AmE")</f>
        <v/>
      </c>
      <c r="I741" s="18">
        <f>HYPERLINK("http://dict.youdao.com/w/"&amp;B741,"有道")</f>
        <v/>
      </c>
    </row>
    <row customHeight="1" ht="28.5" r="742">
      <c r="B742" s="1" t="inlineStr">
        <is>
          <t>feat</t>
        </is>
      </c>
      <c r="C742" s="7">
        <f>"n. 功绩，壮举；技艺表演"&amp;CHAR(10)&amp;"adj. 合适的；灵巧的"</f>
        <v/>
      </c>
      <c r="G742" s="18">
        <f>HYPERLINK("D:\python\英语学习\voices\"&amp;B742&amp;"_1.mp3","BrE")</f>
        <v/>
      </c>
      <c r="H742" s="18">
        <f>HYPERLINK("D:\python\英语学习\voices\"&amp;B742&amp;"_2.mp3","AmE")</f>
        <v/>
      </c>
      <c r="I742" s="18">
        <f>HYPERLINK("http://dict.youdao.com/w/"&amp;B742,"有道")</f>
        <v/>
      </c>
    </row>
    <row r="743">
      <c r="B743" s="1" t="inlineStr">
        <is>
          <t>federation</t>
        </is>
      </c>
      <c r="C743" s="7">
        <f>"n. 联合；联邦；联盟；联邦政府"</f>
        <v/>
      </c>
      <c r="G743" s="18">
        <f>HYPERLINK("D:\python\英语学习\voices\"&amp;B743&amp;"_1.mp3","BrE")</f>
        <v/>
      </c>
      <c r="H743" s="18">
        <f>HYPERLINK("D:\python\英语学习\voices\"&amp;B743&amp;"_2.mp3","AmE")</f>
        <v/>
      </c>
      <c r="I743" s="18">
        <f>HYPERLINK("http://dict.youdao.com/w/"&amp;B743,"有道")</f>
        <v/>
      </c>
    </row>
    <row customHeight="1" ht="71.25" r="744">
      <c r="A744" s="1" t="inlineStr">
        <is>
          <t>important</t>
        </is>
      </c>
      <c r="B744" s="1" t="inlineStr">
        <is>
          <t>associate</t>
        </is>
      </c>
      <c r="C744" s="7">
        <f>"v. 联想，联系；（使）关联；与（不被认同的人）交往；将……和……联系起来；表示同意"&amp;CHAR(10)&amp;"n. （生意或工作上的）伙伴；准会员；联想；准零售工"&amp;CHAR(10)&amp;"adj. （与某组织或企业）联合的；副的"</f>
        <v/>
      </c>
      <c r="E744" s="6" t="inlineStr">
        <is>
          <t>associate with</t>
        </is>
      </c>
      <c r="G744" s="18">
        <f>HYPERLINK("D:\python\英语学习\voices\"&amp;B744&amp;"_1.mp3","BrE")</f>
        <v/>
      </c>
      <c r="H744" s="18">
        <f>HYPERLINK("D:\python\英语学习\voices\"&amp;B744&amp;"_2.mp3","AmE")</f>
        <v/>
      </c>
      <c r="I744" s="18">
        <f>HYPERLINK("http://dict.youdao.com/w/"&amp;B744,"有道")</f>
        <v/>
      </c>
    </row>
    <row customHeight="1" ht="71.25" r="745">
      <c r="B745" s="1" t="inlineStr">
        <is>
          <t>fell</t>
        </is>
      </c>
      <c r="C745" s="7">
        <f>"adj. 凶猛的；毁灭性的"&amp;CHAR(10)&amp;"vt. 砍伐；打倒；击倒"&amp;CHAR(10)&amp;"n. [林] 一季所伐的木材；折缝；兽皮"&amp;CHAR(10)&amp;"v. 掉下；摔倒；下垂；变坏（fall的过去式）"&amp;CHAR(10)&amp;"n. (Fell)人名；(英、法、德)费尔"</f>
        <v/>
      </c>
      <c r="G745" s="18">
        <f>HYPERLINK("D:\python\英语学习\voices\"&amp;B745&amp;"_1.mp3","BrE")</f>
        <v/>
      </c>
      <c r="H745" s="18">
        <f>HYPERLINK("D:\python\英语学习\voices\"&amp;B745&amp;"_2.mp3","AmE")</f>
        <v/>
      </c>
      <c r="I745" s="18">
        <f>HYPERLINK("http://dict.youdao.com/w/"&amp;B745,"有道")</f>
        <v/>
      </c>
    </row>
    <row customHeight="1" ht="28.5" r="746">
      <c r="A746" t="inlineStr">
        <is>
          <t>important</t>
        </is>
      </c>
      <c r="B746" s="1" t="inlineStr">
        <is>
          <t>engage</t>
        </is>
      </c>
      <c r="C746" s="7">
        <f>"vt. 吸引，占用；使参加；雇佣；使订婚；预定"&amp;CHAR(10)&amp;"vi. 从事；参与；答应，保证；交战；啮合"</f>
        <v/>
      </c>
      <c r="G746" s="18">
        <f>HYPERLINK("D:\python\英语学习\voices\"&amp;B746&amp;"_1.mp3","BrE")</f>
        <v/>
      </c>
      <c r="H746" s="18">
        <f>HYPERLINK("D:\python\英语学习\voices\"&amp;B746&amp;"_2.mp3","AmE")</f>
        <v/>
      </c>
      <c r="I746" s="18">
        <f>HYPERLINK("http://dict.youdao.com/w/"&amp;B746,"有道")</f>
        <v/>
      </c>
    </row>
    <row customHeight="1" ht="29.1" r="747">
      <c r="A747" s="1" t="inlineStr">
        <is>
          <t>unnecessary</t>
        </is>
      </c>
      <c r="B747" s="1" t="inlineStr">
        <is>
          <t>feminine</t>
        </is>
      </c>
      <c r="C747" s="7">
        <f>"adj. 女性的；妇女（似）的；阴性的；娇柔的"</f>
        <v/>
      </c>
      <c r="G747" s="18">
        <f>HYPERLINK("D:\python\英语学习\voices\"&amp;B747&amp;"_1.mp3","BrE")</f>
        <v/>
      </c>
      <c r="H747" s="18">
        <f>HYPERLINK("D:\python\英语学习\voices\"&amp;B747&amp;"_2.mp3","AmE")</f>
        <v/>
      </c>
      <c r="I747" s="18">
        <f>HYPERLINK("http://dict.youdao.com/w/"&amp;B747,"有道")</f>
        <v/>
      </c>
    </row>
    <row r="748">
      <c r="B748" s="1" t="inlineStr">
        <is>
          <t>ferrous</t>
        </is>
      </c>
      <c r="C748" s="7">
        <f>"adj. [化学] 亚铁的；铁的，含铁的"</f>
        <v/>
      </c>
      <c r="G748" s="18">
        <f>HYPERLINK("D:\python\英语学习\voices\"&amp;B748&amp;"_1.mp3","BrE")</f>
        <v/>
      </c>
      <c r="H748" s="18">
        <f>HYPERLINK("D:\python\英语学习\voices\"&amp;B748&amp;"_2.mp3","AmE")</f>
        <v/>
      </c>
      <c r="I748" s="18">
        <f>HYPERLINK("http://dict.youdao.com/w/"&amp;B748,"有道")</f>
        <v/>
      </c>
    </row>
    <row customHeight="1" ht="57" r="749">
      <c r="B749" s="1" t="inlineStr">
        <is>
          <t>ferry</t>
        </is>
      </c>
      <c r="C749" s="7">
        <f>"n. 渡船；摆渡；渡口"&amp;CHAR(10)&amp;"vt. （乘渡船）渡过；用渡船运送；空运"&amp;CHAR(10)&amp;"vi. 摆渡；来往行驶"&amp;CHAR(10)&amp;"n. (Ferry)人名；(法、德、英、印尼)费里"</f>
        <v/>
      </c>
      <c r="G749" s="18">
        <f>HYPERLINK("D:\python\英语学习\voices\"&amp;B749&amp;"_1.mp3","BrE")</f>
        <v/>
      </c>
      <c r="H749" s="18">
        <f>HYPERLINK("D:\python\英语学习\voices\"&amp;B749&amp;"_2.mp3","AmE")</f>
        <v/>
      </c>
      <c r="I749" s="18">
        <f>HYPERLINK("http://dict.youdao.com/w/"&amp;B749,"有道")</f>
        <v/>
      </c>
    </row>
    <row r="750">
      <c r="B750" s="1" t="inlineStr">
        <is>
          <t>fertilization</t>
        </is>
      </c>
      <c r="C750" s="7">
        <f>"n. [农] 施肥；[胚] 受精；肥沃"</f>
        <v/>
      </c>
      <c r="G750" s="18">
        <f>HYPERLINK("D:\python\英语学习\voices\"&amp;B750&amp;"_1.mp3","BrE")</f>
        <v/>
      </c>
      <c r="H750" s="18">
        <f>HYPERLINK("D:\python\英语学习\voices\"&amp;B750&amp;"_2.mp3","AmE")</f>
        <v/>
      </c>
      <c r="I750" s="18">
        <f>HYPERLINK("http://dict.youdao.com/w/"&amp;B750,"有道")</f>
        <v/>
      </c>
    </row>
    <row r="751">
      <c r="B751" s="1" t="inlineStr">
        <is>
          <t>fertilize</t>
        </is>
      </c>
      <c r="C751" s="7">
        <f>"vt. 使受精；使肥沃"</f>
        <v/>
      </c>
      <c r="G751" s="18">
        <f>HYPERLINK("D:\python\英语学习\voices\"&amp;B751&amp;"_1.mp3","BrE")</f>
        <v/>
      </c>
      <c r="H751" s="18">
        <f>HYPERLINK("D:\python\英语学习\voices\"&amp;B751&amp;"_2.mp3","AmE")</f>
        <v/>
      </c>
      <c r="I751" s="18">
        <f>HYPERLINK("http://dict.youdao.com/w/"&amp;B751,"有道")</f>
        <v/>
      </c>
    </row>
    <row r="752">
      <c r="B752" s="1" t="inlineStr">
        <is>
          <t>fetal</t>
        </is>
      </c>
      <c r="C752" s="7">
        <f>"adj. 胎的，胎儿的"</f>
        <v/>
      </c>
      <c r="G752" s="18">
        <f>HYPERLINK("D:\python\英语学习\voices\"&amp;B752&amp;"_1.mp3","BrE")</f>
        <v/>
      </c>
      <c r="H752" s="18">
        <f>HYPERLINK("D:\python\英语学习\voices\"&amp;B752&amp;"_2.mp3","AmE")</f>
        <v/>
      </c>
      <c r="I752" s="18">
        <f>HYPERLINK("http://dict.youdao.com/w/"&amp;B752,"有道")</f>
        <v/>
      </c>
    </row>
    <row r="753">
      <c r="B753" s="1" t="inlineStr">
        <is>
          <t>fetish</t>
        </is>
      </c>
      <c r="C753" s="7">
        <f>"n. 恋物（等于fetich）；迷信；偶像"</f>
        <v/>
      </c>
      <c r="E753" s="6" t="inlineStr">
        <is>
          <t>恋物癖</t>
        </is>
      </c>
      <c r="G753" s="18">
        <f>HYPERLINK("D:\python\英语学习\voices\"&amp;B753&amp;"_1.mp3","BrE")</f>
        <v/>
      </c>
      <c r="H753" s="18">
        <f>HYPERLINK("D:\python\英语学习\voices\"&amp;B753&amp;"_2.mp3","AmE")</f>
        <v/>
      </c>
      <c r="I753" s="18">
        <f>HYPERLINK("http://dict.youdao.com/w/"&amp;B753,"有道")</f>
        <v/>
      </c>
    </row>
    <row r="754">
      <c r="B754" s="1" t="inlineStr">
        <is>
          <t>feudal</t>
        </is>
      </c>
      <c r="C754" s="7">
        <f>"adj. 封建制度的；领地的；世仇的"</f>
        <v/>
      </c>
      <c r="G754" s="18">
        <f>HYPERLINK("D:\python\英语学习\voices\"&amp;B754&amp;"_1.mp3","BrE")</f>
        <v/>
      </c>
      <c r="H754" s="18">
        <f>HYPERLINK("D:\python\英语学习\voices\"&amp;B754&amp;"_2.mp3","AmE")</f>
        <v/>
      </c>
      <c r="I754" s="18">
        <f>HYPERLINK("http://dict.youdao.com/w/"&amp;B754,"有道")</f>
        <v/>
      </c>
    </row>
    <row customHeight="1" ht="42.75" r="755">
      <c r="B755" s="1" t="inlineStr">
        <is>
          <t>fiddle</t>
        </is>
      </c>
      <c r="C755" s="7">
        <f>"n. 小提琴"&amp;CHAR(10)&amp;"vi. 瞎搞；拉小提琴"&amp;CHAR(10)&amp;"vt. 虚度时光；拉小提琴"</f>
        <v/>
      </c>
      <c r="G755" s="18">
        <f>HYPERLINK("D:\python\英语学习\voices\"&amp;B755&amp;"_1.mp3","BrE")</f>
        <v/>
      </c>
      <c r="H755" s="18">
        <f>HYPERLINK("D:\python\英语学习\voices\"&amp;B755&amp;"_2.mp3","AmE")</f>
        <v/>
      </c>
      <c r="I755" s="18">
        <f>HYPERLINK("http://dict.youdao.com/w/"&amp;B755,"有道")</f>
        <v/>
      </c>
    </row>
    <row r="756">
      <c r="B756" s="1" t="inlineStr">
        <is>
          <t>filp</t>
        </is>
      </c>
      <c r="C756" s="7">
        <f>"abbr. 财政投资贷款计划"</f>
        <v/>
      </c>
      <c r="G756" s="18">
        <f>HYPERLINK("D:\python\英语学习\voices\"&amp;B756&amp;"_1.mp3","BrE")</f>
        <v/>
      </c>
      <c r="H756" s="18">
        <f>HYPERLINK("D:\python\英语学习\voices\"&amp;B756&amp;"_2.mp3","AmE")</f>
        <v/>
      </c>
      <c r="I756" s="18">
        <f>HYPERLINK("http://dict.youdao.com/w/"&amp;B756,"有道")</f>
        <v/>
      </c>
    </row>
    <row r="757">
      <c r="B757" s="1" t="inlineStr">
        <is>
          <t>filth</t>
        </is>
      </c>
      <c r="C757" s="7">
        <f>"n. 污秽；肮脏；猥亵；不洁"</f>
        <v/>
      </c>
      <c r="G757" s="18">
        <f>HYPERLINK("D:\python\英语学习\voices\"&amp;B757&amp;"_1.mp3","BrE")</f>
        <v/>
      </c>
      <c r="H757" s="18">
        <f>HYPERLINK("D:\python\英语学习\voices\"&amp;B757&amp;"_2.mp3","AmE")</f>
        <v/>
      </c>
      <c r="I757" s="18">
        <f>HYPERLINK("http://dict.youdao.com/w/"&amp;B757,"有道")</f>
        <v/>
      </c>
    </row>
    <row r="758">
      <c r="B758" s="1" t="inlineStr">
        <is>
          <t>filthy</t>
        </is>
      </c>
      <c r="C758" s="7">
        <f>"adj. 肮脏的；污秽的；猥亵的"</f>
        <v/>
      </c>
      <c r="G758" s="18">
        <f>HYPERLINK("D:\python\英语学习\voices\"&amp;B758&amp;"_1.mp3","BrE")</f>
        <v/>
      </c>
      <c r="H758" s="18">
        <f>HYPERLINK("D:\python\英语学习\voices\"&amp;B758&amp;"_2.mp3","AmE")</f>
        <v/>
      </c>
      <c r="I758" s="18">
        <f>HYPERLINK("http://dict.youdao.com/w/"&amp;B758,"有道")</f>
        <v/>
      </c>
    </row>
    <row customHeight="1" ht="28.5" r="759">
      <c r="B759" s="1" t="inlineStr">
        <is>
          <t>finalize</t>
        </is>
      </c>
      <c r="C759" s="7">
        <f>"vt. 完成；使结束"&amp;CHAR(10)&amp;"vi. 把最后定下来；定案"</f>
        <v/>
      </c>
      <c r="G759" s="18">
        <f>HYPERLINK("D:\python\英语学习\voices\"&amp;B759&amp;"_1.mp3","BrE")</f>
        <v/>
      </c>
      <c r="H759" s="18">
        <f>HYPERLINK("D:\python\英语学习\voices\"&amp;B759&amp;"_2.mp3","AmE")</f>
        <v/>
      </c>
      <c r="I759" s="18">
        <f>HYPERLINK("http://dict.youdao.com/w/"&amp;B759,"有道")</f>
        <v/>
      </c>
    </row>
    <row r="760">
      <c r="B760" s="1" t="inlineStr">
        <is>
          <t>firework</t>
        </is>
      </c>
      <c r="C760" s="7">
        <f>"n. 烟火；激烈情绪"</f>
        <v/>
      </c>
      <c r="G760" s="18">
        <f>HYPERLINK("D:\python\英语学习\voices\"&amp;B760&amp;"_1.mp3","BrE")</f>
        <v/>
      </c>
      <c r="H760" s="18">
        <f>HYPERLINK("D:\python\英语学习\voices\"&amp;B760&amp;"_2.mp3","AmE")</f>
        <v/>
      </c>
      <c r="I760" s="18">
        <f>HYPERLINK("http://dict.youdao.com/w/"&amp;B760,"有道")</f>
        <v/>
      </c>
    </row>
    <row r="761">
      <c r="B761" s="1" t="inlineStr">
        <is>
          <t>fission</t>
        </is>
      </c>
      <c r="C761" s="7">
        <f>"n. 裂变；分裂；分体；分裂生殖法"</f>
        <v/>
      </c>
      <c r="G761" s="18">
        <f>HYPERLINK("D:\python\英语学习\voices\"&amp;B761&amp;"_1.mp3","BrE")</f>
        <v/>
      </c>
      <c r="H761" s="18">
        <f>HYPERLINK("D:\python\英语学习\voices\"&amp;B761&amp;"_2.mp3","AmE")</f>
        <v/>
      </c>
      <c r="I761" s="18">
        <f>HYPERLINK("http://dict.youdao.com/w/"&amp;B761,"有道")</f>
        <v/>
      </c>
    </row>
    <row customHeight="1" ht="42.75" r="762">
      <c r="B762" s="1" t="inlineStr">
        <is>
          <t>fitting</t>
        </is>
      </c>
      <c r="C762" s="7">
        <f>"n. 装配，装置；试穿，试衣"&amp;CHAR(10)&amp;"adj. 适合的，适宜的；相称的"&amp;CHAR(10)&amp;"n. (Fitting)人名；(英、德)菲廷"</f>
        <v/>
      </c>
      <c r="G762" s="18">
        <f>HYPERLINK("D:\python\英语学习\voices\"&amp;B762&amp;"_1.mp3","BrE")</f>
        <v/>
      </c>
      <c r="H762" s="18">
        <f>HYPERLINK("D:\python\英语学习\voices\"&amp;B762&amp;"_2.mp3","AmE")</f>
        <v/>
      </c>
      <c r="I762" s="18">
        <f>HYPERLINK("http://dict.youdao.com/w/"&amp;B762,"有道")</f>
        <v/>
      </c>
    </row>
    <row customHeight="1" ht="57" r="763">
      <c r="B763" s="1" t="inlineStr">
        <is>
          <t>flake</t>
        </is>
      </c>
      <c r="C763" s="7">
        <f>"vi. 剥落；成片状剥落"&amp;CHAR(10)&amp;"vt. 使…成薄片；将…剥落"&amp;CHAR(10)&amp;"n. 小薄片；火花"&amp;CHAR(10)&amp;"n. (Flake)人名；(英)弗莱克；(德)弗拉克"</f>
        <v/>
      </c>
      <c r="G763" s="18">
        <f>HYPERLINK("D:\python\英语学习\voices\"&amp;B763&amp;"_1.mp3","BrE")</f>
        <v/>
      </c>
      <c r="H763" s="18">
        <f>HYPERLINK("D:\python\英语学习\voices\"&amp;B763&amp;"_2.mp3","AmE")</f>
        <v/>
      </c>
      <c r="I763" s="18">
        <f>HYPERLINK("http://dict.youdao.com/w/"&amp;B763,"有道")</f>
        <v/>
      </c>
    </row>
    <row customHeight="1" ht="42.75" r="764">
      <c r="B764" s="1" t="inlineStr">
        <is>
          <t>flame</t>
        </is>
      </c>
      <c r="C764" s="7">
        <f>"n. 火焰；热情；光辉"&amp;CHAR(10)&amp;"v. 焚烧；泛红"&amp;CHAR(10)&amp;"n. (Flame)人名；(法)弗拉姆；(西)弗拉梅"</f>
        <v/>
      </c>
      <c r="E764" s="6" t="inlineStr">
        <is>
          <t>好多意思</t>
        </is>
      </c>
      <c r="G764" s="18">
        <f>HYPERLINK("D:\python\英语学习\voices\"&amp;B764&amp;"_1.mp3","BrE")</f>
        <v/>
      </c>
      <c r="H764" s="18">
        <f>HYPERLINK("D:\python\英语学习\voices\"&amp;B764&amp;"_2.mp3","AmE")</f>
        <v/>
      </c>
      <c r="I764" s="18">
        <f>HYPERLINK("http://dict.youdao.com/w/"&amp;B764,"有道")</f>
        <v/>
      </c>
    </row>
    <row customHeight="1" ht="71.25" r="765">
      <c r="B765" s="1" t="inlineStr">
        <is>
          <t>flank</t>
        </is>
      </c>
      <c r="C765" s="7">
        <f>"n. 侧面；侧翼；侧腹"&amp;CHAR(10)&amp;"vt. 守侧面；位于…的侧面；攻击侧面"&amp;CHAR(10)&amp;"vi. 侧面与…相接"&amp;CHAR(10)&amp;"adv. 在左右两边"&amp;CHAR(10)&amp;"n. (Flank)人名；(瑞典、匈)弗兰克；(法)弗朗克"</f>
        <v/>
      </c>
      <c r="G765" s="18">
        <f>HYPERLINK("D:\python\英语学习\voices\"&amp;B765&amp;"_1.mp3","BrE")</f>
        <v/>
      </c>
      <c r="H765" s="18">
        <f>HYPERLINK("D:\python\英语学习\voices\"&amp;B765&amp;"_2.mp3","AmE")</f>
        <v/>
      </c>
      <c r="I765" s="18">
        <f>HYPERLINK("http://dict.youdao.com/w/"&amp;B765,"有道")</f>
        <v/>
      </c>
    </row>
    <row customHeight="1" ht="42.75" r="766">
      <c r="A766" t="inlineStr">
        <is>
          <t>unnecessary</t>
        </is>
      </c>
      <c r="B766" s="1" t="inlineStr">
        <is>
          <t>flannel</t>
        </is>
      </c>
      <c r="C766" s="7">
        <f>"n. 法兰绒；法兰绒衣服；法兰绒巾"&amp;CHAR(10)&amp;"vt. 给…穿上法兰绒衣服；用法兰绒包"&amp;CHAR(10)&amp;"adj. 法兰绒的"</f>
        <v/>
      </c>
      <c r="G766" s="18">
        <f>HYPERLINK("D:\python\英语学习\voices\"&amp;B766&amp;"_1.mp3","BrE")</f>
        <v/>
      </c>
      <c r="H766" s="18">
        <f>HYPERLINK("D:\python\英语学习\voices\"&amp;B766&amp;"_2.mp3","AmE")</f>
        <v/>
      </c>
      <c r="I766" s="18">
        <f>HYPERLINK("http://dict.youdao.com/w/"&amp;B766,"有道")</f>
        <v/>
      </c>
    </row>
    <row customHeight="1" ht="57" r="767">
      <c r="B767" s="1" t="inlineStr">
        <is>
          <t>flap</t>
        </is>
      </c>
      <c r="C767" s="7">
        <f>"n. 拍打，拍打声；神经紧张；[航] 襟翼"&amp;CHAR(10)&amp;"vi. 拍动；神经紧张；鼓翼而飞；（帽边等）垂下"&amp;CHAR(10)&amp;"vt. 拍打；扔；拉下帽边；飘动"</f>
        <v/>
      </c>
      <c r="G767" s="18">
        <f>HYPERLINK("D:\python\英语学习\voices\"&amp;B767&amp;"_1.mp3","BrE")</f>
        <v/>
      </c>
      <c r="H767" s="18">
        <f>HYPERLINK("D:\python\英语学习\voices\"&amp;B767&amp;"_2.mp3","AmE")</f>
        <v/>
      </c>
      <c r="I767" s="18">
        <f>HYPERLINK("http://dict.youdao.com/w/"&amp;B767,"有道")</f>
        <v/>
      </c>
    </row>
    <row customHeight="1" ht="28.5" r="768">
      <c r="B768" s="1" t="inlineStr">
        <is>
          <t>flask</t>
        </is>
      </c>
      <c r="C768" s="7">
        <f>"n. [分化] 烧瓶；长颈瓶，细颈瓶；酒瓶，携带瓶"</f>
        <v/>
      </c>
      <c r="G768" s="18">
        <f>HYPERLINK("D:\python\英语学习\voices\"&amp;B768&amp;"_1.mp3","BrE")</f>
        <v/>
      </c>
      <c r="H768" s="18">
        <f>HYPERLINK("D:\python\英语学习\voices\"&amp;B768&amp;"_2.mp3","AmE")</f>
        <v/>
      </c>
      <c r="I768" s="18">
        <f>HYPERLINK("http://dict.youdao.com/w/"&amp;B768,"有道")</f>
        <v/>
      </c>
    </row>
    <row customHeight="1" ht="42.75" r="769">
      <c r="B769" s="1" t="inlineStr">
        <is>
          <t>flatten</t>
        </is>
      </c>
      <c r="C769" s="7">
        <f>"vt. 击败，摧毁；使……平坦"&amp;CHAR(10)&amp;"vi. 变平；变单调"&amp;CHAR(10)&amp;"n. (Flatten)人名；(德)弗拉滕"</f>
        <v/>
      </c>
      <c r="G769" s="18">
        <f>HYPERLINK("D:\python\英语学习\voices\"&amp;B769&amp;"_1.mp3","BrE")</f>
        <v/>
      </c>
      <c r="H769" s="18">
        <f>HYPERLINK("D:\python\英语学习\voices\"&amp;B769&amp;"_2.mp3","AmE")</f>
        <v/>
      </c>
      <c r="I769" s="18">
        <f>HYPERLINK("http://dict.youdao.com/w/"&amp;B769,"有道")</f>
        <v/>
      </c>
    </row>
    <row r="770">
      <c r="B770" s="1" t="inlineStr">
        <is>
          <t>flatter</t>
        </is>
      </c>
      <c r="C770" s="7">
        <f>"vt. 奉承；谄媚；使高兴"</f>
        <v/>
      </c>
      <c r="G770" s="18">
        <f>HYPERLINK("D:\python\英语学习\voices\"&amp;B770&amp;"_1.mp3","BrE")</f>
        <v/>
      </c>
      <c r="H770" s="18">
        <f>HYPERLINK("D:\python\英语学习\voices\"&amp;B770&amp;"_2.mp3","AmE")</f>
        <v/>
      </c>
      <c r="I770" s="18">
        <f>HYPERLINK("http://dict.youdao.com/w/"&amp;B770,"有道")</f>
        <v/>
      </c>
    </row>
    <row customHeight="1" ht="57" r="771">
      <c r="B771" s="1" t="inlineStr">
        <is>
          <t>flaw</t>
        </is>
      </c>
      <c r="C771" s="7">
        <f>"n. 瑕疵，缺点；一阵狂风；短暂的风暴；裂缝，裂纹"&amp;CHAR(10)&amp;"v. 使生裂缝，使有裂纹；使无效；使有缺陷"&amp;CHAR(10)&amp;"vi. 生裂缝；变的有缺陷"</f>
        <v/>
      </c>
      <c r="G771" s="18">
        <f>HYPERLINK("D:\python\英语学习\voices\"&amp;B771&amp;"_1.mp3","BrE")</f>
        <v/>
      </c>
      <c r="H771" s="18">
        <f>HYPERLINK("D:\python\英语学习\voices\"&amp;B771&amp;"_2.mp3","AmE")</f>
        <v/>
      </c>
      <c r="I771" s="18">
        <f>HYPERLINK("http://dict.youdao.com/w/"&amp;B771,"有道")</f>
        <v/>
      </c>
    </row>
    <row customHeight="1" ht="28.5" r="772">
      <c r="B772" s="1" t="inlineStr">
        <is>
          <t>flee</t>
        </is>
      </c>
      <c r="C772" s="7">
        <f>"vi. 逃走；消失，消散"&amp;CHAR(10)&amp;"vt. 逃跑，逃走；逃避"</f>
        <v/>
      </c>
      <c r="G772" s="18">
        <f>HYPERLINK("D:\python\英语学习\voices\"&amp;B772&amp;"_1.mp3","BrE")</f>
        <v/>
      </c>
      <c r="H772" s="18">
        <f>HYPERLINK("D:\python\英语学习\voices\"&amp;B772&amp;"_2.mp3","AmE")</f>
        <v/>
      </c>
      <c r="I772" s="18">
        <f>HYPERLINK("http://dict.youdao.com/w/"&amp;B772,"有道")</f>
        <v/>
      </c>
    </row>
    <row customHeight="1" ht="71.25" r="773">
      <c r="B773" s="1" t="inlineStr">
        <is>
          <t>flex</t>
        </is>
      </c>
      <c r="C773" s="7">
        <f>"vt. 折曲；使收缩"&amp;CHAR(10)&amp;"vi. 弯曲；收缩"&amp;CHAR(10)&amp;"n. 屈曲；电线；松紧带"&amp;CHAR(10)&amp;"adj. 弹性工作制的"&amp;CHAR(10)&amp;"n. (Flex)人名；(意)弗莱克斯；(法)弗莱"</f>
        <v/>
      </c>
      <c r="G773" s="18">
        <f>HYPERLINK("D:\python\英语学习\voices\"&amp;B773&amp;"_1.mp3","BrE")</f>
        <v/>
      </c>
      <c r="H773" s="18">
        <f>HYPERLINK("D:\python\英语学习\voices\"&amp;B773&amp;"_2.mp3","AmE")</f>
        <v/>
      </c>
      <c r="I773" s="18">
        <f>HYPERLINK("http://dict.youdao.com/w/"&amp;B773,"有道")</f>
        <v/>
      </c>
    </row>
    <row customHeight="1" ht="42.75" r="774">
      <c r="B774" s="1" t="inlineStr">
        <is>
          <t>fling</t>
        </is>
      </c>
      <c r="C774" s="7">
        <f>"vt. 掷，抛；嘲笑；使陷入；轻蔑地投射；猛动"&amp;CHAR(10)&amp;"n. 掷，抛；嘲弄；急冲"&amp;CHAR(10)&amp;"vi. 猛冲，急行"</f>
        <v/>
      </c>
      <c r="G774" s="18">
        <f>HYPERLINK("D:\python\英语学习\voices\"&amp;B774&amp;"_1.mp3","BrE")</f>
        <v/>
      </c>
      <c r="H774" s="18">
        <f>HYPERLINK("D:\python\英语学习\voices\"&amp;B774&amp;"_2.mp3","AmE")</f>
        <v/>
      </c>
      <c r="I774" s="18">
        <f>HYPERLINK("http://dict.youdao.com/w/"&amp;B774,"有道")</f>
        <v/>
      </c>
    </row>
    <row customHeight="1" ht="57" r="775">
      <c r="B775" s="1" t="inlineStr">
        <is>
          <t>flip</t>
        </is>
      </c>
      <c r="C775" s="7">
        <f>"vt. 掷；轻击"&amp;CHAR(10)&amp;"vi. 用指轻弹；蹦跳"&amp;CHAR(10)&amp;"adj. 无礼的；轻率的"&amp;CHAR(10)&amp;"n. 弹；筋斗"</f>
        <v/>
      </c>
      <c r="G775" s="18">
        <f>HYPERLINK("D:\python\英语学习\voices\"&amp;B775&amp;"_1.mp3","BrE")</f>
        <v/>
      </c>
      <c r="H775" s="18">
        <f>HYPERLINK("D:\python\英语学习\voices\"&amp;B775&amp;"_2.mp3","AmE")</f>
        <v/>
      </c>
      <c r="I775" s="18">
        <f>HYPERLINK("http://dict.youdao.com/w/"&amp;B775,"有道")</f>
        <v/>
      </c>
    </row>
    <row customHeight="1" ht="57" r="776">
      <c r="B776" s="1" t="inlineStr">
        <is>
          <t>flock</t>
        </is>
      </c>
      <c r="C776" s="7">
        <f>"n. 群；棉束（等于floc）"&amp;CHAR(10)&amp;"vt. 用棉束填满"&amp;CHAR(10)&amp;"vi. 聚集；成群而行"&amp;CHAR(10)&amp;"n. (Flock)人名；(德、瑞典)弗洛克"</f>
        <v/>
      </c>
      <c r="G776" s="18">
        <f>HYPERLINK("D:\python\英语学习\voices\"&amp;B776&amp;"_1.mp3","BrE")</f>
        <v/>
      </c>
      <c r="H776" s="18">
        <f>HYPERLINK("D:\python\英语学习\voices\"&amp;B776&amp;"_2.mp3","AmE")</f>
        <v/>
      </c>
      <c r="I776" s="18">
        <f>HYPERLINK("http://dict.youdao.com/w/"&amp;B776,"有道")</f>
        <v/>
      </c>
    </row>
    <row customHeight="1" ht="57" r="777">
      <c r="B777" s="1" t="inlineStr">
        <is>
          <t>flop</t>
        </is>
      </c>
      <c r="C777" s="7">
        <f>"vt. 笨拙地抛下；扑通放下；拍（翅）"&amp;CHAR(10)&amp;"vi. 失败；扑拍；扑通落下；笨重地摔"&amp;CHAR(10)&amp;"n. 失败；砰然落下；拍击声"&amp;CHAR(10)&amp;"adv. 扑通一声；恰巧"</f>
        <v/>
      </c>
      <c r="G777" s="18">
        <f>HYPERLINK("D:\python\英语学习\voices\"&amp;B777&amp;"_1.mp3","BrE")</f>
        <v/>
      </c>
      <c r="H777" s="18">
        <f>HYPERLINK("D:\python\英语学习\voices\"&amp;B777&amp;"_2.mp3","AmE")</f>
        <v/>
      </c>
      <c r="I777" s="18">
        <f>HYPERLINK("http://dict.youdao.com/w/"&amp;B777,"有道")</f>
        <v/>
      </c>
    </row>
    <row customHeight="1" ht="28.5" r="778">
      <c r="B778" s="1" t="inlineStr">
        <is>
          <t>floppy</t>
        </is>
      </c>
      <c r="C778" s="7">
        <f>"adj. 松软的；叭嗒叭嗒响的；懒散的，邋遢的"&amp;CHAR(10)&amp;"n. 软磁碟"</f>
        <v/>
      </c>
      <c r="G778" s="18">
        <f>HYPERLINK("D:\python\英语学习\voices\"&amp;B778&amp;"_1.mp3","BrE")</f>
        <v/>
      </c>
      <c r="H778" s="18">
        <f>HYPERLINK("D:\python\英语学习\voices\"&amp;B778&amp;"_2.mp3","AmE")</f>
        <v/>
      </c>
      <c r="I778" s="18">
        <f>HYPERLINK("http://dict.youdao.com/w/"&amp;B778,"有道")</f>
        <v/>
      </c>
    </row>
    <row customHeight="1" ht="57" r="779">
      <c r="B779" s="1" t="inlineStr">
        <is>
          <t>floss</t>
        </is>
      </c>
      <c r="C779" s="7">
        <f>"n. 牙线；丝棉；乱丝"&amp;CHAR(10)&amp;"vt. 用牙线洁牙"&amp;CHAR(10)&amp;"vi. 用牙线清洁"&amp;CHAR(10)&amp;"n. (Floss)人名；(英、德)弗洛斯"</f>
        <v/>
      </c>
      <c r="G779" s="18">
        <f>HYPERLINK("D:\python\英语学习\voices\"&amp;B779&amp;"_1.mp3","BrE")</f>
        <v/>
      </c>
      <c r="H779" s="18">
        <f>HYPERLINK("D:\python\英语学习\voices\"&amp;B779&amp;"_2.mp3","AmE")</f>
        <v/>
      </c>
      <c r="I779" s="18">
        <f>HYPERLINK("http://dict.youdao.com/w/"&amp;B779,"有道")</f>
        <v/>
      </c>
    </row>
    <row r="780">
      <c r="B780" s="1" t="inlineStr">
        <is>
          <t>fluctuation</t>
        </is>
      </c>
      <c r="C780" s="7">
        <f>"n. 起伏，波动"</f>
        <v/>
      </c>
      <c r="G780" s="18">
        <f>HYPERLINK("D:\python\英语学习\voices\"&amp;B780&amp;"_1.mp3","BrE")</f>
        <v/>
      </c>
      <c r="H780" s="18">
        <f>HYPERLINK("D:\python\英语学习\voices\"&amp;B780&amp;"_2.mp3","AmE")</f>
        <v/>
      </c>
      <c r="I780" s="18">
        <f>HYPERLINK("http://dict.youdao.com/w/"&amp;B780,"有道")</f>
        <v/>
      </c>
    </row>
    <row customHeight="1" ht="28.5" r="781">
      <c r="B781" s="1" t="inlineStr">
        <is>
          <t>fluorescent</t>
        </is>
      </c>
      <c r="C781" s="7">
        <f>"adj. 荧光的；萤光的；发亮的"&amp;CHAR(10)&amp;"n. 荧光；日光灯"</f>
        <v/>
      </c>
      <c r="G781" s="18">
        <f>HYPERLINK("D:\python\英语学习\voices\"&amp;B781&amp;"_1.mp3","BrE")</f>
        <v/>
      </c>
      <c r="H781" s="18">
        <f>HYPERLINK("D:\python\英语学习\voices\"&amp;B781&amp;"_2.mp3","AmE")</f>
        <v/>
      </c>
      <c r="I781" s="18">
        <f>HYPERLINK("http://dict.youdao.com/w/"&amp;B781,"有道")</f>
        <v/>
      </c>
    </row>
    <row customHeight="1" ht="71.25" r="782">
      <c r="A782" s="1" t="inlineStr">
        <is>
          <t>important</t>
        </is>
      </c>
      <c r="B782" s="1" t="inlineStr">
        <is>
          <t>fuel</t>
        </is>
      </c>
      <c r="C782" s="7">
        <f>"n. 燃料；刺激因素；（为身体提供能量的）食物"&amp;CHAR(10)&amp;"vt. 给……提供燃料；刺激，煽动；推动"&amp;CHAR(10)&amp;"vi. 得到燃料"&amp;CHAR(10)&amp;"n. (Fuel) （美）傅爱乐（人名）"</f>
        <v/>
      </c>
      <c r="E782" s="6" t="inlineStr">
        <is>
          <t>用得好很好</t>
        </is>
      </c>
      <c r="G782" s="18">
        <f>HYPERLINK("D:\python\英语学习\voices\"&amp;B782&amp;"_1.mp3","BrE")</f>
        <v/>
      </c>
      <c r="H782" s="18">
        <f>HYPERLINK("D:\python\英语学习\voices\"&amp;B782&amp;"_2.mp3","AmE")</f>
        <v/>
      </c>
      <c r="I782" s="18">
        <f>HYPERLINK("http://dict.youdao.com/w/"&amp;B782,"有道")</f>
        <v/>
      </c>
    </row>
    <row customHeight="1" ht="42.75" r="783">
      <c r="B783" s="1" t="inlineStr">
        <is>
          <t>flute</t>
        </is>
      </c>
      <c r="C783" s="7">
        <f>"n. 长笛；【工程设计】(刀具的)出屑槽"&amp;CHAR(10)&amp;"vt. 用长笛吹奏"&amp;CHAR(10)&amp;"vi. 吹长笛"</f>
        <v/>
      </c>
      <c r="G783" s="18">
        <f>HYPERLINK("D:\python\英语学习\voices\"&amp;B783&amp;"_1.mp3","BrE")</f>
        <v/>
      </c>
      <c r="H783" s="18">
        <f>HYPERLINK("D:\python\英语学习\voices\"&amp;B783&amp;"_2.mp3","AmE")</f>
        <v/>
      </c>
      <c r="I783" s="18">
        <f>HYPERLINK("http://dict.youdao.com/w/"&amp;B783,"有道")</f>
        <v/>
      </c>
    </row>
    <row customHeight="1" ht="42.75" r="784">
      <c r="B784" s="1" t="inlineStr">
        <is>
          <t>flutter</t>
        </is>
      </c>
      <c r="C784" s="7">
        <f>"vi. 飘动；鼓翼；烦扰"&amp;CHAR(10)&amp;"vt. 拍；使焦急；使飘动"&amp;CHAR(10)&amp;"n. 摆动；鼓翼；烦扰"</f>
        <v/>
      </c>
      <c r="G784" s="18">
        <f>HYPERLINK("D:\python\英语学习\voices\"&amp;B784&amp;"_1.mp3","BrE")</f>
        <v/>
      </c>
      <c r="H784" s="18">
        <f>HYPERLINK("D:\python\英语学习\voices\"&amp;B784&amp;"_2.mp3","AmE")</f>
        <v/>
      </c>
      <c r="I784" s="18">
        <f>HYPERLINK("http://dict.youdao.com/w/"&amp;B784,"有道")</f>
        <v/>
      </c>
    </row>
    <row customHeight="1" ht="57" r="785">
      <c r="B785" s="1" t="inlineStr">
        <is>
          <t>flux</t>
        </is>
      </c>
      <c r="C785" s="7">
        <f>"n. [流][机] 流量；变迁；不稳定；流出"&amp;CHAR(10)&amp;"vt. 使熔融；用焊剂处理"&amp;CHAR(10)&amp;"vi. 熔化；流出"&amp;CHAR(10)&amp;"n. (Flux)人名；(德)弗卢克斯；(英)弗勒克斯"</f>
        <v/>
      </c>
      <c r="G785" s="18">
        <f>HYPERLINK("D:\python\英语学习\voices\"&amp;B785&amp;"_1.mp3","BrE")</f>
        <v/>
      </c>
      <c r="H785" s="18">
        <f>HYPERLINK("D:\python\英语学习\voices\"&amp;B785&amp;"_2.mp3","AmE")</f>
        <v/>
      </c>
      <c r="I785" s="18">
        <f>HYPERLINK("http://dict.youdao.com/w/"&amp;B785,"有道")</f>
        <v/>
      </c>
    </row>
    <row customHeight="1" ht="42.75" r="786">
      <c r="B786" s="1" t="inlineStr">
        <is>
          <t>foam</t>
        </is>
      </c>
      <c r="C786" s="7">
        <f>"n. 泡沫；水沫；灭火泡沫"&amp;CHAR(10)&amp;"vi. 起泡沫；吐白沫；起着泡沫流动"&amp;CHAR(10)&amp;"vt. 使起泡沫；使成泡沫状物"</f>
        <v/>
      </c>
      <c r="G786" s="18">
        <f>HYPERLINK("D:\python\英语学习\voices\"&amp;B786&amp;"_1.mp3","BrE")</f>
        <v/>
      </c>
      <c r="H786" s="18">
        <f>HYPERLINK("D:\python\英语学习\voices\"&amp;B786&amp;"_2.mp3","AmE")</f>
        <v/>
      </c>
      <c r="I786" s="18">
        <f>HYPERLINK("http://dict.youdao.com/w/"&amp;B786,"有道")</f>
        <v/>
      </c>
    </row>
    <row customHeight="1" ht="28.5" r="787">
      <c r="B787" s="1" t="inlineStr">
        <is>
          <t>footnote</t>
        </is>
      </c>
      <c r="C787" s="7">
        <f>"n. 脚注；补充说明"&amp;CHAR(10)&amp;"vt. 给…作脚注；在脚注里评议"</f>
        <v/>
      </c>
      <c r="G787" s="18">
        <f>HYPERLINK("D:\python\英语学习\voices\"&amp;B787&amp;"_1.mp3","BrE")</f>
        <v/>
      </c>
      <c r="H787" s="18">
        <f>HYPERLINK("D:\python\英语学习\voices\"&amp;B787&amp;"_2.mp3","AmE")</f>
        <v/>
      </c>
      <c r="I787" s="18">
        <f>HYPERLINK("http://dict.youdao.com/w/"&amp;B787,"有道")</f>
        <v/>
      </c>
    </row>
    <row r="788">
      <c r="B788" s="1" t="inlineStr">
        <is>
          <t>footpath</t>
        </is>
      </c>
      <c r="C788" s="7">
        <f>"n. 人行道；小路；小径"</f>
        <v/>
      </c>
      <c r="G788" s="18">
        <f>HYPERLINK("D:\python\英语学习\voices\"&amp;B788&amp;"_1.mp3","BrE")</f>
        <v/>
      </c>
      <c r="H788" s="18">
        <f>HYPERLINK("D:\python\英语学习\voices\"&amp;B788&amp;"_2.mp3","AmE")</f>
        <v/>
      </c>
      <c r="I788" s="18">
        <f>HYPERLINK("http://dict.youdao.com/w/"&amp;B788,"有道")</f>
        <v/>
      </c>
    </row>
    <row customHeight="1" ht="85.5" r="789">
      <c r="B789" s="1" t="inlineStr">
        <is>
          <t>fore</t>
        </is>
      </c>
      <c r="C789" s="7">
        <f>"adj. 以前的；在前部的"&amp;CHAR(10)&amp;"n. 前部；船头"&amp;CHAR(10)&amp;"adv. 在前面；在船头"&amp;CHAR(10)&amp;"prep. 在前"&amp;CHAR(10)&amp;"int. （打高尔夫球者的叫声）让开！"&amp;CHAR(10)&amp;"n. (Fore)人名；(法)福尔"</f>
        <v/>
      </c>
      <c r="G789" s="18">
        <f>HYPERLINK("D:\python\英语学习\voices\"&amp;B789&amp;"_1.mp3","BrE")</f>
        <v/>
      </c>
      <c r="H789" s="18">
        <f>HYPERLINK("D:\python\英语学习\voices\"&amp;B789&amp;"_2.mp3","AmE")</f>
        <v/>
      </c>
      <c r="I789" s="18">
        <f>HYPERLINK("http://dict.youdao.com/w/"&amp;B789,"有道")</f>
        <v/>
      </c>
    </row>
    <row r="790">
      <c r="A790" s="1" t="inlineStr">
        <is>
          <t>unnecessary</t>
        </is>
      </c>
      <c r="B790" s="1" t="inlineStr">
        <is>
          <t>foreclosure</t>
        </is>
      </c>
      <c r="C790" s="7">
        <f>"n. 丧失抵押品赎回权"</f>
        <v/>
      </c>
      <c r="G790" s="18">
        <f>HYPERLINK("D:\python\英语学习\voices\"&amp;B790&amp;"_1.mp3","BrE")</f>
        <v/>
      </c>
      <c r="H790" s="18">
        <f>HYPERLINK("D:\python\英语学习\voices\"&amp;B790&amp;"_2.mp3","AmE")</f>
        <v/>
      </c>
      <c r="I790" s="18">
        <f>HYPERLINK("http://dict.youdao.com/w/"&amp;B790,"有道")</f>
        <v/>
      </c>
    </row>
    <row r="791">
      <c r="B791" s="1" t="inlineStr">
        <is>
          <t>forefront</t>
        </is>
      </c>
      <c r="C791" s="7">
        <f>"n. 最前线，最前部；活动的中心"</f>
        <v/>
      </c>
      <c r="G791" s="18">
        <f>HYPERLINK("D:\python\英语学习\voices\"&amp;B791&amp;"_1.mp3","BrE")</f>
        <v/>
      </c>
      <c r="H791" s="18">
        <f>HYPERLINK("D:\python\英语学习\voices\"&amp;B791&amp;"_2.mp3","AmE")</f>
        <v/>
      </c>
      <c r="I791" s="18">
        <f>HYPERLINK("http://dict.youdao.com/w/"&amp;B791,"有道")</f>
        <v/>
      </c>
    </row>
    <row r="792">
      <c r="B792" s="1" t="inlineStr">
        <is>
          <t>forego</t>
        </is>
      </c>
      <c r="C792" s="7">
        <f>"vt. 放弃；居先；在……之前"</f>
        <v/>
      </c>
      <c r="G792" s="18">
        <f>HYPERLINK("D:\python\英语学习\voices\"&amp;B792&amp;"_1.mp3","BrE")</f>
        <v/>
      </c>
      <c r="H792" s="18">
        <f>HYPERLINK("D:\python\英语学习\voices\"&amp;B792&amp;"_2.mp3","AmE")</f>
        <v/>
      </c>
      <c r="I792" s="18">
        <f>HYPERLINK("http://dict.youdao.com/w/"&amp;B792,"有道")</f>
        <v/>
      </c>
    </row>
    <row customHeight="1" ht="28.5" r="793">
      <c r="B793" s="1" t="inlineStr">
        <is>
          <t>foremost</t>
        </is>
      </c>
      <c r="C793" s="7">
        <f>"adj. 最重要的；最先的"&amp;CHAR(10)&amp;"adv. 首先；居于首位地"</f>
        <v/>
      </c>
      <c r="E793" s="6" t="inlineStr">
        <is>
          <t>first and foremost 首先；首要的是</t>
        </is>
      </c>
      <c r="G793" s="18">
        <f>HYPERLINK("D:\python\英语学习\voices\"&amp;B793&amp;"_1.mp3","BrE")</f>
        <v/>
      </c>
      <c r="H793" s="18">
        <f>HYPERLINK("D:\python\英语学习\voices\"&amp;B793&amp;"_2.mp3","AmE")</f>
        <v/>
      </c>
      <c r="I793" s="18">
        <f>HYPERLINK("http://dict.youdao.com/w/"&amp;B793,"有道")</f>
        <v/>
      </c>
    </row>
    <row customHeight="1" ht="57" r="794">
      <c r="B794" s="1" t="inlineStr">
        <is>
          <t>forge</t>
        </is>
      </c>
      <c r="C794" s="7">
        <f>"n. 熔炉，锻铁炉；铁工厂"&amp;CHAR(10)&amp;"vi. 伪造；做锻工；前进"&amp;CHAR(10)&amp;"vt. 伪造；锻造；前进"&amp;CHAR(10)&amp;"n. (Forge)人名；(德)福格；(法)福尔热"</f>
        <v/>
      </c>
      <c r="E794" s="7" t="inlineStr">
        <is>
          <t>动词 forge closer economical ties/ forge a career</t>
        </is>
      </c>
      <c r="G794" s="18">
        <f>HYPERLINK("D:\python\英语学习\voices\"&amp;B794&amp;"_1.mp3","BrE")</f>
        <v/>
      </c>
      <c r="H794" s="18">
        <f>HYPERLINK("D:\python\英语学习\voices\"&amp;B794&amp;"_2.mp3","AmE")</f>
        <v/>
      </c>
      <c r="I794" s="18">
        <f>HYPERLINK("http://dict.youdao.com/w/"&amp;B794,"有道")</f>
        <v/>
      </c>
    </row>
    <row customHeight="1" ht="42.75" r="795">
      <c r="B795" s="1" t="inlineStr">
        <is>
          <t>format</t>
        </is>
      </c>
      <c r="C795" s="7">
        <f>"n. 格式；版式；开本"&amp;CHAR(10)&amp;"vt. 使格式化；规定…的格式"&amp;CHAR(10)&amp;"vi. 设计版式"</f>
        <v/>
      </c>
      <c r="G795" s="18">
        <f>HYPERLINK("D:\python\英语学习\voices\"&amp;B795&amp;"_1.mp3","BrE")</f>
        <v/>
      </c>
      <c r="H795" s="18">
        <f>HYPERLINK("D:\python\英语学习\voices\"&amp;B795&amp;"_2.mp3","AmE")</f>
        <v/>
      </c>
      <c r="I795" s="18">
        <f>HYPERLINK("http://dict.youdao.com/w/"&amp;B795,"有道")</f>
        <v/>
      </c>
    </row>
    <row customHeight="1" ht="29.1" r="796">
      <c r="A796" s="1" t="inlineStr">
        <is>
          <t>important</t>
        </is>
      </c>
      <c r="B796" s="1" t="inlineStr">
        <is>
          <t>shed</t>
        </is>
      </c>
      <c r="C796" s="7">
        <f>"vt. 流出；摆脱；散发；倾吐"&amp;CHAR(10)&amp;"vi. 流出；脱落；散布"&amp;CHAR(10)&amp;"n. 小屋，棚；分水岭"</f>
        <v/>
      </c>
      <c r="E796" s="6" t="inlineStr">
        <is>
          <t>shed blood 流血、(抛头颅)洒热血、杀人</t>
        </is>
      </c>
      <c r="F796" s="14">
        <f>"Communist Party of China, your brightest! when the sun as you claim yourself to be will shed light on my dingy home.
英明的共产党，您的阳光什么时候才能照亮我那黑暗的家。"&amp;CHAR(10)&amp;"On this point, oddly, Europe's nationalists shed their chauvinism for a saccharine solidarity beyond borders.
奇怪的是，在这一点上，这些欧洲民族主义者超越了国界，完全用一个鼻孔出气，展示出其大国沙文主义的嘴脸"</f>
        <v/>
      </c>
      <c r="G796" s="18">
        <f>HYPERLINK("D:\python\英语学习\voices\"&amp;B796&amp;"_1.mp3","BrE")</f>
        <v/>
      </c>
      <c r="H796" s="18">
        <f>HYPERLINK("D:\python\英语学习\voices\"&amp;B796&amp;"_2.mp3","AmE")</f>
        <v/>
      </c>
      <c r="I796" s="18">
        <f>HYPERLINK("http://dict.youdao.com/w/"&amp;B796,"有道")</f>
        <v/>
      </c>
    </row>
    <row r="797">
      <c r="B797" s="1" t="inlineStr">
        <is>
          <t>formulate</t>
        </is>
      </c>
      <c r="C797" s="7">
        <f>"vt. 规划；用公式表示；明确地表达"</f>
        <v/>
      </c>
      <c r="G797" s="18">
        <f>HYPERLINK("D:\python\英语学习\voices\"&amp;B797&amp;"_1.mp3","BrE")</f>
        <v/>
      </c>
      <c r="H797" s="18">
        <f>HYPERLINK("D:\python\英语学习\voices\"&amp;B797&amp;"_2.mp3","AmE")</f>
        <v/>
      </c>
      <c r="I797" s="18">
        <f>HYPERLINK("http://dict.youdao.com/w/"&amp;B797,"有道")</f>
        <v/>
      </c>
    </row>
    <row r="798">
      <c r="B798" s="1" t="inlineStr">
        <is>
          <t>formulation</t>
        </is>
      </c>
      <c r="C798" s="7">
        <f>"n. 构想，规划；公式化；简洁陈述"</f>
        <v/>
      </c>
      <c r="G798" s="18">
        <f>HYPERLINK("D:\python\英语学习\voices\"&amp;B798&amp;"_1.mp3","BrE")</f>
        <v/>
      </c>
      <c r="H798" s="18">
        <f>HYPERLINK("D:\python\英语学习\voices\"&amp;B798&amp;"_2.mp3","AmE")</f>
        <v/>
      </c>
      <c r="I798" s="18">
        <f>HYPERLINK("http://dict.youdao.com/w/"&amp;B798,"有道")</f>
        <v/>
      </c>
    </row>
    <row customHeight="1" ht="28.5" r="799">
      <c r="A799" s="1" t="inlineStr">
        <is>
          <t>important</t>
        </is>
      </c>
      <c r="B799" s="1" t="inlineStr">
        <is>
          <t>euphoria</t>
        </is>
      </c>
      <c r="C799" s="7">
        <f>"n. （常指较短时间的）极度兴奋，情绪高涨，狂喜"</f>
        <v/>
      </c>
      <c r="G799" s="18">
        <f>HYPERLINK("D:\python\英语学习\voices\"&amp;B799&amp;"_1.mp3","BrE")</f>
        <v/>
      </c>
      <c r="H799" s="18">
        <f>HYPERLINK("D:\python\英语学习\voices\"&amp;B799&amp;"_2.mp3","AmE")</f>
        <v/>
      </c>
      <c r="I799" s="18">
        <f>HYPERLINK("http://dict.youdao.com/w/"&amp;B799,"有道")</f>
        <v/>
      </c>
    </row>
    <row customHeight="1" ht="71.25" r="800">
      <c r="B800" s="1" t="inlineStr">
        <is>
          <t>fort</t>
        </is>
      </c>
      <c r="C800" s="7">
        <f>"n. 堡垒；要塞；（美）边界贸易站"&amp;CHAR(10)&amp;"vt. 设要塞保卫"&amp;CHAR(10)&amp;"vi. 构筑要塞"&amp;CHAR(10)&amp;"n. (Fort)人名；(法)福尔；(德、英、西、葡、匈)福特"</f>
        <v/>
      </c>
      <c r="G800" s="18">
        <f>HYPERLINK("D:\python\英语学习\voices\"&amp;B800&amp;"_1.mp3","BrE")</f>
        <v/>
      </c>
      <c r="H800" s="18">
        <f>HYPERLINK("D:\python\英语学习\voices\"&amp;B800&amp;"_2.mp3","AmE")</f>
        <v/>
      </c>
      <c r="I800" s="18">
        <f>HYPERLINK("http://dict.youdao.com/w/"&amp;B800,"有道")</f>
        <v/>
      </c>
    </row>
    <row customHeight="1" ht="28.5" r="801">
      <c r="B801" s="1" t="inlineStr">
        <is>
          <t>forthcoming</t>
        </is>
      </c>
      <c r="C801" s="7">
        <f>"adj. 即将来临的"&amp;CHAR(10)&amp;"n. 来临"</f>
        <v/>
      </c>
      <c r="G801" s="18">
        <f>HYPERLINK("D:\python\英语学习\voices\"&amp;B801&amp;"_1.mp3","BrE")</f>
        <v/>
      </c>
      <c r="H801" s="18">
        <f>HYPERLINK("D:\python\英语学习\voices\"&amp;B801&amp;"_2.mp3","AmE")</f>
        <v/>
      </c>
      <c r="I801" s="18">
        <f>HYPERLINK("http://dict.youdao.com/w/"&amp;B801,"有道")</f>
        <v/>
      </c>
    </row>
    <row r="802">
      <c r="B802" s="1" t="inlineStr">
        <is>
          <t>forum</t>
        </is>
      </c>
      <c r="C802" s="7">
        <f>"n. 论坛，讨论会；法庭；公开讨论的广场"</f>
        <v/>
      </c>
      <c r="G802" s="18">
        <f>HYPERLINK("D:\python\英语学习\voices\"&amp;B802&amp;"_1.mp3","BrE")</f>
        <v/>
      </c>
      <c r="H802" s="18">
        <f>HYPERLINK("D:\python\英语学习\voices\"&amp;B802&amp;"_2.mp3","AmE")</f>
        <v/>
      </c>
      <c r="I802" s="18">
        <f>HYPERLINK("http://dict.youdao.com/w/"&amp;B802,"有道")</f>
        <v/>
      </c>
    </row>
    <row customHeight="1" ht="28.5" r="803">
      <c r="B803" s="1" t="inlineStr">
        <is>
          <t>fossil</t>
        </is>
      </c>
      <c r="C803" s="7">
        <f>"n. 化石；僵化的事物；顽固不化的人"&amp;CHAR(10)&amp;"adj. 化石的；陈腐的，守旧的"</f>
        <v/>
      </c>
      <c r="G803" s="18">
        <f>HYPERLINK("D:\python\英语学习\voices\"&amp;B803&amp;"_1.mp3","BrE")</f>
        <v/>
      </c>
      <c r="H803" s="18">
        <f>HYPERLINK("D:\python\英语学习\voices\"&amp;B803&amp;"_2.mp3","AmE")</f>
        <v/>
      </c>
      <c r="I803" s="18">
        <f>HYPERLINK("http://dict.youdao.com/w/"&amp;B803,"有道")</f>
        <v/>
      </c>
    </row>
    <row customHeight="1" ht="57" r="804">
      <c r="B804" s="1" t="inlineStr">
        <is>
          <t>foster</t>
        </is>
      </c>
      <c r="C804" s="7">
        <f>"vt. 培养；养育，抚育；抱（希望等）"&amp;CHAR(10)&amp;"adj. 收养的，养育的"&amp;CHAR(10)&amp;"n. (Foster)人名；(英、捷、意、葡、法、德、俄、西)福斯特"</f>
        <v/>
      </c>
      <c r="E804" s="6" t="inlineStr">
        <is>
          <t>foster family寄养/领养家庭</t>
        </is>
      </c>
      <c r="G804" s="18">
        <f>HYPERLINK("D:\python\英语学习\voices\"&amp;B804&amp;"_1.mp3","BrE")</f>
        <v/>
      </c>
      <c r="H804" s="18">
        <f>HYPERLINK("D:\python\英语学习\voices\"&amp;B804&amp;"_2.mp3","AmE")</f>
        <v/>
      </c>
      <c r="I804" s="18">
        <f>HYPERLINK("http://dict.youdao.com/w/"&amp;B804,"有道")</f>
        <v/>
      </c>
    </row>
    <row customHeight="1" ht="71.25" r="805">
      <c r="A805" s="1" t="inlineStr">
        <is>
          <t>important</t>
        </is>
      </c>
      <c r="B805" s="1" t="inlineStr">
        <is>
          <t>ordeal</t>
        </is>
      </c>
      <c r="C805" s="7">
        <f>"n. 折磨；严酷的考验；痛苦的经验"</f>
        <v/>
      </c>
      <c r="G805" s="18">
        <f>HYPERLINK("D:\python\英语学习\voices\"&amp;B805&amp;"_1.mp3","BrE")</f>
        <v/>
      </c>
      <c r="H805" s="18">
        <f>HYPERLINK("D:\python\英语学习\voices\"&amp;B805&amp;"_2.mp3","AmE")</f>
        <v/>
      </c>
      <c r="I805" s="18">
        <f>HYPERLINK("http://dict.youdao.com/w/"&amp;B805,"有道")</f>
        <v/>
      </c>
    </row>
    <row customHeight="1" ht="28.5" r="806">
      <c r="B806" s="1" t="inlineStr">
        <is>
          <t>fowl</t>
        </is>
      </c>
      <c r="C806" s="7">
        <f>"n. 家禽；鸟；飞禽"&amp;CHAR(10)&amp;"vi. 打鸟；捕野禽"</f>
        <v/>
      </c>
      <c r="G806" s="18">
        <f>HYPERLINK("D:\python\英语学习\voices\"&amp;B806&amp;"_1.mp3","BrE")</f>
        <v/>
      </c>
      <c r="H806" s="18">
        <f>HYPERLINK("D:\python\英语学习\voices\"&amp;B806&amp;"_2.mp3","AmE")</f>
        <v/>
      </c>
      <c r="I806" s="18">
        <f>HYPERLINK("http://dict.youdao.com/w/"&amp;B806,"有道")</f>
        <v/>
      </c>
    </row>
    <row r="807">
      <c r="B807" s="1" t="inlineStr">
        <is>
          <t>fraction</t>
        </is>
      </c>
      <c r="C807" s="7">
        <f>"n. 分数；部分；小部分；稍微"</f>
        <v/>
      </c>
      <c r="E807" s="6" t="inlineStr">
        <is>
          <t>partial fraction部分因式分解</t>
        </is>
      </c>
      <c r="G807" s="18">
        <f>HYPERLINK("D:\python\英语学习\voices\"&amp;B807&amp;"_1.mp3","BrE")</f>
        <v/>
      </c>
      <c r="H807" s="18">
        <f>HYPERLINK("D:\python\英语学习\voices\"&amp;B807&amp;"_2.mp3","AmE")</f>
        <v/>
      </c>
      <c r="I807" s="18">
        <f>HYPERLINK("http://dict.youdao.com/w/"&amp;B807,"有道")</f>
        <v/>
      </c>
    </row>
    <row customHeight="1" ht="42.75" r="808">
      <c r="B808" s="1" t="inlineStr">
        <is>
          <t>fracture</t>
        </is>
      </c>
      <c r="C808" s="7">
        <f>"n. 破裂，断裂；[外科] 骨折"&amp;CHAR(10)&amp;"vi. 破裂；折断"&amp;CHAR(10)&amp;"vt. 使破裂"</f>
        <v/>
      </c>
      <c r="G808" s="18">
        <f>HYPERLINK("D:\python\英语学习\voices\"&amp;B808&amp;"_1.mp3","BrE")</f>
        <v/>
      </c>
      <c r="H808" s="18">
        <f>HYPERLINK("D:\python\英语学习\voices\"&amp;B808&amp;"_2.mp3","AmE")</f>
        <v/>
      </c>
      <c r="I808" s="18">
        <f>HYPERLINK("http://dict.youdao.com/w/"&amp;B808,"有道")</f>
        <v/>
      </c>
    </row>
    <row r="809">
      <c r="B809" s="1" t="inlineStr">
        <is>
          <t>fragmentation</t>
        </is>
      </c>
      <c r="C809" s="7">
        <f>"n. 破碎；分裂；[计] 存储残片"</f>
        <v/>
      </c>
      <c r="G809" s="18">
        <f>HYPERLINK("D:\python\英语学习\voices\"&amp;B809&amp;"_1.mp3","BrE")</f>
        <v/>
      </c>
      <c r="H809" s="18">
        <f>HYPERLINK("D:\python\英语学习\voices\"&amp;B809&amp;"_2.mp3","AmE")</f>
        <v/>
      </c>
      <c r="I809" s="18">
        <f>HYPERLINK("http://dict.youdao.com/w/"&amp;B809,"有道")</f>
        <v/>
      </c>
    </row>
    <row r="810">
      <c r="B810" s="1" t="inlineStr">
        <is>
          <t>fragrant</t>
        </is>
      </c>
      <c r="C810" s="7">
        <f>"adj. 芳香的；愉快的"</f>
        <v/>
      </c>
      <c r="G810" s="18">
        <f>HYPERLINK("D:\python\英语学习\voices\"&amp;B810&amp;"_1.mp3","BrE")</f>
        <v/>
      </c>
      <c r="H810" s="18">
        <f>HYPERLINK("D:\python\英语学习\voices\"&amp;B810&amp;"_2.mp3","AmE")</f>
        <v/>
      </c>
      <c r="I810" s="18">
        <f>HYPERLINK("http://dict.youdao.com/w/"&amp;B810,"有道")</f>
        <v/>
      </c>
    </row>
    <row customHeight="1" ht="28.5" r="811">
      <c r="B811" s="1" t="inlineStr">
        <is>
          <t>frail</t>
        </is>
      </c>
      <c r="C811" s="7">
        <f>"adj. 脆弱的；虚弱的"&amp;CHAR(10)&amp;"n. 灯心草篓；少妇；少女"</f>
        <v/>
      </c>
      <c r="G811" s="18">
        <f>HYPERLINK("D:\python\英语学习\voices\"&amp;B811&amp;"_1.mp3","BrE")</f>
        <v/>
      </c>
      <c r="H811" s="18">
        <f>HYPERLINK("D:\python\英语学习\voices\"&amp;B811&amp;"_2.mp3","AmE")</f>
        <v/>
      </c>
      <c r="I811" s="18">
        <f>HYPERLINK("http://dict.youdao.com/w/"&amp;B811,"有道")</f>
        <v/>
      </c>
    </row>
    <row r="812">
      <c r="B812" s="1" t="inlineStr">
        <is>
          <t>framework</t>
        </is>
      </c>
      <c r="C812" s="7">
        <f>"n. 框架，骨架；结构，构架"</f>
        <v/>
      </c>
      <c r="G812" s="18">
        <f>HYPERLINK("D:\python\英语学习\voices\"&amp;B812&amp;"_1.mp3","BrE")</f>
        <v/>
      </c>
      <c r="H812" s="18">
        <f>HYPERLINK("D:\python\英语学习\voices\"&amp;B812&amp;"_2.mp3","AmE")</f>
        <v/>
      </c>
      <c r="I812" s="18">
        <f>HYPERLINK("http://dict.youdao.com/w/"&amp;B812,"有道")</f>
        <v/>
      </c>
    </row>
    <row customHeight="1" ht="28.5" r="813">
      <c r="B813" s="1" t="inlineStr">
        <is>
          <t>freelance</t>
        </is>
      </c>
      <c r="C813" s="7">
        <f>"n. 自由作家；自由记者"&amp;CHAR(10)&amp;"adj. 自由投稿的"</f>
        <v/>
      </c>
      <c r="G813" s="18">
        <f>HYPERLINK("D:\python\英语学习\voices\"&amp;B813&amp;"_1.mp3","BrE")</f>
        <v/>
      </c>
      <c r="H813" s="18">
        <f>HYPERLINK("D:\python\英语学习\voices\"&amp;B813&amp;"_2.mp3","AmE")</f>
        <v/>
      </c>
      <c r="I813" s="18">
        <f>HYPERLINK("http://dict.youdao.com/w/"&amp;B813,"有道")</f>
        <v/>
      </c>
    </row>
    <row customHeight="1" ht="28.5" r="814">
      <c r="B814" s="1" t="inlineStr">
        <is>
          <t>freight</t>
        </is>
      </c>
      <c r="C814" s="7">
        <f>"vt. 运送；装货；使充满"&amp;CHAR(10)&amp;"n. 货运；运费；船货"</f>
        <v/>
      </c>
      <c r="G814" s="18">
        <f>HYPERLINK("D:\python\英语学习\voices\"&amp;B814&amp;"_1.mp3","BrE")</f>
        <v/>
      </c>
      <c r="H814" s="18">
        <f>HYPERLINK("D:\python\英语学习\voices\"&amp;B814&amp;"_2.mp3","AmE")</f>
        <v/>
      </c>
      <c r="I814" s="18">
        <f>HYPERLINK("http://dict.youdao.com/w/"&amp;B814,"有道")</f>
        <v/>
      </c>
    </row>
    <row customHeight="1" ht="28.5" r="815">
      <c r="B815" s="1" t="inlineStr">
        <is>
          <t>frenzy</t>
        </is>
      </c>
      <c r="C815" s="7">
        <f>"n. 狂暴；狂怒；暴怒"&amp;CHAR(10)&amp;"vt. 使发狂；使狂怒"</f>
        <v/>
      </c>
      <c r="G815" s="18">
        <f>HYPERLINK("D:\python\英语学习\voices\"&amp;B815&amp;"_1.mp3","BrE")</f>
        <v/>
      </c>
      <c r="H815" s="18">
        <f>HYPERLINK("D:\python\英语学习\voices\"&amp;B815&amp;"_2.mp3","AmE")</f>
        <v/>
      </c>
      <c r="I815" s="18">
        <f>HYPERLINK("http://dict.youdao.com/w/"&amp;B815,"有道")</f>
        <v/>
      </c>
    </row>
    <row customHeight="1" ht="28.5" r="816">
      <c r="B816" s="1" t="inlineStr">
        <is>
          <t>fresco</t>
        </is>
      </c>
      <c r="C816" s="7">
        <f>"n. 壁画"&amp;CHAR(10)&amp;"n. (Fresco)人名；(英、意、西、葡)弗雷斯科"</f>
        <v/>
      </c>
      <c r="G816" s="18">
        <f>HYPERLINK("D:\python\英语学习\voices\"&amp;B816&amp;"_1.mp3","BrE")</f>
        <v/>
      </c>
      <c r="H816" s="18">
        <f>HYPERLINK("D:\python\英语学习\voices\"&amp;B816&amp;"_2.mp3","AmE")</f>
        <v/>
      </c>
      <c r="I816" s="18">
        <f>HYPERLINK("http://dict.youdao.com/w/"&amp;B816,"有道")</f>
        <v/>
      </c>
    </row>
    <row customHeight="1" ht="57" r="817">
      <c r="B817" s="1" t="inlineStr">
        <is>
          <t>fret</t>
        </is>
      </c>
      <c r="C817" s="7">
        <f>"vt. 使烦恼；焦急；使磨损"&amp;CHAR(10)&amp;"vi. 烦恼；焦急；磨损"&amp;CHAR(10)&amp;"n. 烦躁；焦急；磨损"&amp;CHAR(10)&amp;"n. (Fret)人名；(法)弗雷；(西)弗雷特"</f>
        <v/>
      </c>
      <c r="G817" s="18">
        <f>HYPERLINK("D:\python\英语学习\voices\"&amp;B817&amp;"_1.mp3","BrE")</f>
        <v/>
      </c>
      <c r="H817" s="18">
        <f>HYPERLINK("D:\python\英语学习\voices\"&amp;B817&amp;"_2.mp3","AmE")</f>
        <v/>
      </c>
      <c r="I817" s="18">
        <f>HYPERLINK("http://dict.youdao.com/w/"&amp;B817,"有道")</f>
        <v/>
      </c>
    </row>
    <row customHeight="1" ht="28.5" r="818">
      <c r="B818" s="1" t="inlineStr">
        <is>
          <t>fright</t>
        </is>
      </c>
      <c r="C818" s="7">
        <f>"n. 惊吓；惊骇"&amp;CHAR(10)&amp;"vt. 使惊恐"</f>
        <v/>
      </c>
      <c r="G818" s="18">
        <f>HYPERLINK("D:\python\英语学习\voices\"&amp;B818&amp;"_1.mp3","BrE")</f>
        <v/>
      </c>
      <c r="H818" s="18">
        <f>HYPERLINK("D:\python\英语学习\voices\"&amp;B818&amp;"_2.mp3","AmE")</f>
        <v/>
      </c>
      <c r="I818" s="18">
        <f>HYPERLINK("http://dict.youdao.com/w/"&amp;B818,"有道")</f>
        <v/>
      </c>
    </row>
    <row customHeight="1" ht="85.5" r="819">
      <c r="A819" t="inlineStr">
        <is>
          <t>important</t>
        </is>
      </c>
      <c r="B819" s="1" t="inlineStr">
        <is>
          <t>alternate</t>
        </is>
      </c>
      <c r="C819" s="7">
        <f>"v. （使）交替，（使）轮流"&amp;CHAR(10)&amp;"adj. 交替的，轮流的；间隔的，每隔（……天等）的；（一或多个事物）另外的，可供选择的；（两者）互不相容的；另类的，非传统的；（叶、芽）互生的"&amp;CHAR(10)&amp;"n. 替换物，代理人"</f>
        <v/>
      </c>
      <c r="E819" s="16" t="inlineStr">
        <is>
          <t>和alternative关系不大，交替，轮流
用的好很好</t>
        </is>
      </c>
      <c r="G819" s="18">
        <f>HYPERLINK("D:\python\英语学习\voices\"&amp;B819&amp;"_1.mp3","BrE")</f>
        <v/>
      </c>
      <c r="H819" s="18">
        <f>HYPERLINK("D:\python\英语学习\voices\"&amp;B819&amp;"_2.mp3","AmE")</f>
        <v/>
      </c>
      <c r="I819" s="18">
        <f>HYPERLINK("http://dict.youdao.com/w/"&amp;B819,"有道")</f>
        <v/>
      </c>
    </row>
    <row customHeight="1" ht="42.75" r="820">
      <c r="B820" s="1" t="inlineStr">
        <is>
          <t>fringe</t>
        </is>
      </c>
      <c r="C820" s="7">
        <f>"n. 边缘；穗；刘海"&amp;CHAR(10)&amp;"adj. 边缘的；附加的"&amp;CHAR(10)&amp;"vt. 加穗于"</f>
        <v/>
      </c>
      <c r="G820" s="18">
        <f>HYPERLINK("D:\python\英语学习\voices\"&amp;B820&amp;"_1.mp3","BrE")</f>
        <v/>
      </c>
      <c r="H820" s="18">
        <f>HYPERLINK("D:\python\英语学习\voices\"&amp;B820&amp;"_2.mp3","AmE")</f>
        <v/>
      </c>
      <c r="I820" s="18">
        <f>HYPERLINK("http://dict.youdao.com/w/"&amp;B820,"有道")</f>
        <v/>
      </c>
    </row>
    <row r="821">
      <c r="B821" s="1" t="inlineStr">
        <is>
          <t>fro</t>
        </is>
      </c>
      <c r="C821" s="7">
        <f>"adv. 向后；向那边"</f>
        <v/>
      </c>
      <c r="E821" s="6" t="inlineStr">
        <is>
          <t>to and fro 往返的，来回的</t>
        </is>
      </c>
      <c r="F821" s="7">
        <f>"He's so worried that he is walking to and fro"</f>
        <v/>
      </c>
      <c r="G821" s="18">
        <f>HYPERLINK("D:\python\英语学习\voices\"&amp;B821&amp;"_1.mp3","BrE")</f>
        <v/>
      </c>
      <c r="H821" s="18">
        <f>HYPERLINK("D:\python\英语学习\voices\"&amp;B821&amp;"_2.mp3","AmE")</f>
        <v/>
      </c>
      <c r="I821" s="18">
        <f>HYPERLINK("http://dict.youdao.com/w/"&amp;B821,"有道")</f>
        <v/>
      </c>
    </row>
    <row customHeight="1" ht="28.5" r="822">
      <c r="B822" s="1" t="inlineStr">
        <is>
          <t>frock</t>
        </is>
      </c>
      <c r="C822" s="7">
        <f>"n. 女装；连衣裙；僧袍；罩袍"&amp;CHAR(10)&amp;"n. (Frock)人名；(英)弗罗克"</f>
        <v/>
      </c>
      <c r="G822" s="18">
        <f>HYPERLINK("D:\python\英语学习\voices\"&amp;B822&amp;"_1.mp3","BrE")</f>
        <v/>
      </c>
      <c r="H822" s="18">
        <f>HYPERLINK("D:\python\英语学习\voices\"&amp;B822&amp;"_2.mp3","AmE")</f>
        <v/>
      </c>
      <c r="I822" s="18">
        <f>HYPERLINK("http://dict.youdao.com/w/"&amp;B822,"有道")</f>
        <v/>
      </c>
    </row>
    <row customHeight="1" ht="42.75" r="823">
      <c r="B823" s="1" t="inlineStr">
        <is>
          <t>frontal</t>
        </is>
      </c>
      <c r="C823" s="7">
        <f>"adj. 额的；正面的，前面的"&amp;CHAR(10)&amp;"n. 额骨，额部；房屋的正面"&amp;CHAR(10)&amp;"n. (Frontal)人名；(西)弗朗塔尔"</f>
        <v/>
      </c>
      <c r="G823" s="18">
        <f>HYPERLINK("D:\python\英语学习\voices\"&amp;B823&amp;"_1.mp3","BrE")</f>
        <v/>
      </c>
      <c r="H823" s="18">
        <f>HYPERLINK("D:\python\英语学习\voices\"&amp;B823&amp;"_2.mp3","AmE")</f>
        <v/>
      </c>
      <c r="I823" s="18">
        <f>HYPERLINK("http://dict.youdao.com/w/"&amp;B823,"有道")</f>
        <v/>
      </c>
    </row>
    <row r="824">
      <c r="B824" s="1" t="inlineStr">
        <is>
          <t>fruitful</t>
        </is>
      </c>
      <c r="C824" s="7">
        <f>"adj. 富有成效的；多产的；果实结得多的"</f>
        <v/>
      </c>
      <c r="G824" s="18">
        <f>HYPERLINK("D:\python\英语学习\voices\"&amp;B824&amp;"_1.mp3","BrE")</f>
        <v/>
      </c>
      <c r="H824" s="18">
        <f>HYPERLINK("D:\python\英语学习\voices\"&amp;B824&amp;"_2.mp3","AmE")</f>
        <v/>
      </c>
      <c r="I824" s="18">
        <f>HYPERLINK("http://dict.youdao.com/w/"&amp;B824,"有道")</f>
        <v/>
      </c>
    </row>
    <row customHeight="1" ht="42.75" r="825">
      <c r="A825" s="1" t="inlineStr">
        <is>
          <t>important</t>
        </is>
      </c>
      <c r="B825" s="1" t="inlineStr">
        <is>
          <t>elaborate</t>
        </is>
      </c>
      <c r="C825" s="7">
        <f>"adj. 精心制作的；详尽的；煞费苦心的"&amp;CHAR(10)&amp;"vt. 精心制作；详细阐述；从简单成分合成（复杂有机物）"&amp;CHAR(10)&amp;"vi. 详细描述；变复杂"</f>
        <v/>
      </c>
      <c r="G825" s="18">
        <f>HYPERLINK("D:\python\英语学习\voices\"&amp;B825&amp;"_1.mp3","BrE")</f>
        <v/>
      </c>
      <c r="H825" s="18">
        <f>HYPERLINK("D:\python\英语学习\voices\"&amp;B825&amp;"_2.mp3","AmE")</f>
        <v/>
      </c>
      <c r="I825" s="18">
        <f>HYPERLINK("http://dict.youdao.com/w/"&amp;B825,"有道")</f>
        <v/>
      </c>
    </row>
    <row customHeight="1" ht="42.75" r="826">
      <c r="B826" s="1" t="inlineStr">
        <is>
          <t>fumble</t>
        </is>
      </c>
      <c r="C826" s="7">
        <f>"vt. 摸索；笨拙地做；漏接"&amp;CHAR(10)&amp;"vi. 摸索；笨拙地行动；漏球"&amp;CHAR(10)&amp;"n. 摸索；笨拙的处理；漏球"</f>
        <v/>
      </c>
      <c r="G826" s="18">
        <f>HYPERLINK("D:\python\英语学习\voices\"&amp;B826&amp;"_1.mp3","BrE")</f>
        <v/>
      </c>
      <c r="H826" s="18">
        <f>HYPERLINK("D:\python\英语学习\voices\"&amp;B826&amp;"_2.mp3","AmE")</f>
        <v/>
      </c>
      <c r="I826" s="18">
        <f>HYPERLINK("http://dict.youdao.com/w/"&amp;B826,"有道")</f>
        <v/>
      </c>
    </row>
    <row customHeight="1" ht="57" r="827">
      <c r="B827" s="1" t="inlineStr">
        <is>
          <t>fume</t>
        </is>
      </c>
      <c r="C827" s="7">
        <f>"vi. 冒烟；发怒"&amp;CHAR(10)&amp;"vt. 熏；冒烟；愤怒地说"&amp;CHAR(10)&amp;"n. 烟；愤怒，烦恼"&amp;CHAR(10)&amp;"n. (Fume)人名；(日)不免(姓)"</f>
        <v/>
      </c>
      <c r="G827" s="18">
        <f>HYPERLINK("D:\python\英语学习\voices\"&amp;B827&amp;"_1.mp3","BrE")</f>
        <v/>
      </c>
      <c r="H827" s="18">
        <f>HYPERLINK("D:\python\英语学习\voices\"&amp;B827&amp;"_2.mp3","AmE")</f>
        <v/>
      </c>
      <c r="I827" s="18">
        <f>HYPERLINK("http://dict.youdao.com/w/"&amp;B827,"有道")</f>
        <v/>
      </c>
    </row>
    <row customHeight="1" ht="57" r="828">
      <c r="B828" s="1" t="inlineStr">
        <is>
          <t>fuss</t>
        </is>
      </c>
      <c r="C828" s="7">
        <f>"vi. 小题大作；忙乱；焦燥；焦急；无事自扰"&amp;CHAR(10)&amp;"n. 大惊小怪，大惊小怪的人；小题大作；忙乱"&amp;CHAR(10)&amp;"vt. 使烦恼，使烦忧"&amp;CHAR(10)&amp;"n. (Fuss)人名；(匈)富什；(法)菲斯"</f>
        <v/>
      </c>
      <c r="G828" s="18">
        <f>HYPERLINK("D:\python\英语学习\voices\"&amp;B828&amp;"_1.mp3","BrE")</f>
        <v/>
      </c>
      <c r="H828" s="18">
        <f>HYPERLINK("D:\python\英语学习\voices\"&amp;B828&amp;"_2.mp3","AmE")</f>
        <v/>
      </c>
      <c r="I828" s="18">
        <f>HYPERLINK("http://dict.youdao.com/w/"&amp;B828,"有道")</f>
        <v/>
      </c>
    </row>
    <row customHeight="1" ht="28.5" r="829">
      <c r="A829" s="1" t="inlineStr">
        <is>
          <t>important</t>
        </is>
      </c>
      <c r="B829" s="1" t="inlineStr">
        <is>
          <t>nurture</t>
        </is>
      </c>
      <c r="C829" s="7">
        <f>"vt. 养育；鼓励；培植"&amp;CHAR(10)&amp;"n. 养育；教养；营养物"</f>
        <v/>
      </c>
      <c r="G829" s="18">
        <f>HYPERLINK("D:\python\英语学习\voices\"&amp;B829&amp;"_1.mp3","BrE")</f>
        <v/>
      </c>
      <c r="H829" s="18">
        <f>HYPERLINK("D:\python\英语学习\voices\"&amp;B829&amp;"_2.mp3","AmE")</f>
        <v/>
      </c>
      <c r="I829" s="18">
        <f>HYPERLINK("http://dict.youdao.com/w/"&amp;B829,"有道")</f>
        <v/>
      </c>
    </row>
    <row r="830">
      <c r="B830" s="1" t="inlineStr">
        <is>
          <t>gadget</t>
        </is>
      </c>
      <c r="C830" s="7">
        <f>"n. 小玩意；小器具；小配件；诡计"</f>
        <v/>
      </c>
      <c r="G830" s="18">
        <f>HYPERLINK("D:\python\英语学习\voices\"&amp;B830&amp;"_1.mp3","BrE")</f>
        <v/>
      </c>
      <c r="H830" s="18">
        <f>HYPERLINK("D:\python\英语学习\voices\"&amp;B830&amp;"_2.mp3","AmE")</f>
        <v/>
      </c>
      <c r="I830" s="18">
        <f>HYPERLINK("http://dict.youdao.com/w/"&amp;B830,"有道")</f>
        <v/>
      </c>
    </row>
    <row customHeight="1" ht="71.25" r="831">
      <c r="B831" s="1" t="inlineStr">
        <is>
          <t>gall</t>
        </is>
      </c>
      <c r="C831" s="7">
        <f>"n. 胆汁；五倍子；怨恨；苦味"&amp;CHAR(10)&amp;"vt. 烦恼；屈辱；磨伤"&amp;CHAR(10)&amp;"vi. 被磨伤"&amp;CHAR(10)&amp;"n. (Gall)人名；(英)高尔；(法、德、俄、意、罗、捷、塞)加尔"</f>
        <v/>
      </c>
      <c r="G831" s="18">
        <f>HYPERLINK("D:\python\英语学习\voices\"&amp;B831&amp;"_1.mp3","BrE")</f>
        <v/>
      </c>
      <c r="H831" s="18">
        <f>HYPERLINK("D:\python\英语学习\voices\"&amp;B831&amp;"_2.mp3","AmE")</f>
        <v/>
      </c>
      <c r="I831" s="18">
        <f>HYPERLINK("http://dict.youdao.com/w/"&amp;B831,"有道")</f>
        <v/>
      </c>
    </row>
    <row customHeight="1" ht="57" r="832">
      <c r="B832" s="1" t="inlineStr">
        <is>
          <t>gallop</t>
        </is>
      </c>
      <c r="C832" s="7">
        <f>"n. 疾驰；飞奔"&amp;CHAR(10)&amp;"vi. 飞驰；急速进行；急急忙忙地说"&amp;CHAR(10)&amp;"vt. 使飞跑；迅速运输"&amp;CHAR(10)&amp;"n. (Gallop)人名；(英)盖洛普"</f>
        <v/>
      </c>
      <c r="E832" s="6" t="inlineStr">
        <is>
          <t>horse</t>
        </is>
      </c>
      <c r="G832" s="18">
        <f>HYPERLINK("D:\python\英语学习\voices\"&amp;B832&amp;"_1.mp3","BrE")</f>
        <v/>
      </c>
      <c r="H832" s="18">
        <f>HYPERLINK("D:\python\英语学习\voices\"&amp;B832&amp;"_2.mp3","AmE")</f>
        <v/>
      </c>
      <c r="I832" s="18">
        <f>HYPERLINK("http://dict.youdao.com/w/"&amp;B832,"有道")</f>
        <v/>
      </c>
    </row>
    <row customHeight="1" ht="42.75" r="833">
      <c r="B833" s="1" t="inlineStr">
        <is>
          <t>garment</t>
        </is>
      </c>
      <c r="C833" s="7">
        <f>"n. 衣服，服装；外表，外观"&amp;CHAR(10)&amp;"vt. 给…穿衣服"&amp;CHAR(10)&amp;"n. (Garment)人名；(英)加门特"</f>
        <v/>
      </c>
      <c r="G833" s="18">
        <f>HYPERLINK("D:\python\英语学习\voices\"&amp;B833&amp;"_1.mp3","BrE")</f>
        <v/>
      </c>
      <c r="H833" s="18">
        <f>HYPERLINK("D:\python\英语学习\voices\"&amp;B833&amp;"_2.mp3","AmE")</f>
        <v/>
      </c>
      <c r="I833" s="18">
        <f>HYPERLINK("http://dict.youdao.com/w/"&amp;B833,"有道")</f>
        <v/>
      </c>
    </row>
    <row r="834">
      <c r="B834" s="1" t="inlineStr">
        <is>
          <t>gastric</t>
        </is>
      </c>
      <c r="C834" s="7">
        <f>"adj. 胃的；胃部的"</f>
        <v/>
      </c>
      <c r="G834" s="18">
        <f>HYPERLINK("D:\python\英语学习\voices\"&amp;B834&amp;"_1.mp3","BrE")</f>
        <v/>
      </c>
      <c r="H834" s="18">
        <f>HYPERLINK("D:\python\英语学习\voices\"&amp;B834&amp;"_2.mp3","AmE")</f>
        <v/>
      </c>
      <c r="I834" s="18">
        <f>HYPERLINK("http://dict.youdao.com/w/"&amp;B834,"有道")</f>
        <v/>
      </c>
    </row>
    <row r="835">
      <c r="B835" s="1" t="inlineStr">
        <is>
          <t>gateway</t>
        </is>
      </c>
      <c r="C835" s="7">
        <f>"n. 门；网关；方法；通道；途径"</f>
        <v/>
      </c>
      <c r="G835" s="18">
        <f>HYPERLINK("D:\python\英语学习\voices\"&amp;B835&amp;"_1.mp3","BrE")</f>
        <v/>
      </c>
      <c r="H835" s="18">
        <f>HYPERLINK("D:\python\英语学习\voices\"&amp;B835&amp;"_2.mp3","AmE")</f>
        <v/>
      </c>
      <c r="I835" s="18">
        <f>HYPERLINK("http://dict.youdao.com/w/"&amp;B835,"有道")</f>
        <v/>
      </c>
    </row>
    <row customHeight="1" ht="28.5" r="836">
      <c r="B836" s="1" t="inlineStr">
        <is>
          <t>gathering</t>
        </is>
      </c>
      <c r="C836" s="7">
        <f>"n. 聚集；集会；收款"&amp;CHAR(10)&amp;"v. 聚集（gather的ing形式）"</f>
        <v/>
      </c>
      <c r="G836" s="18">
        <f>HYPERLINK("D:\python\英语学习\voices\"&amp;B836&amp;"_1.mp3","BrE")</f>
        <v/>
      </c>
      <c r="H836" s="18">
        <f>HYPERLINK("D:\python\英语学习\voices\"&amp;B836&amp;"_2.mp3","AmE")</f>
        <v/>
      </c>
      <c r="I836" s="18">
        <f>HYPERLINK("http://dict.youdao.com/w/"&amp;B836,"有道")</f>
        <v/>
      </c>
    </row>
    <row customHeight="1" ht="42.75" r="837">
      <c r="A837" s="1" t="inlineStr">
        <is>
          <t>unnecessary</t>
        </is>
      </c>
      <c r="B837" s="1" t="inlineStr">
        <is>
          <t>gel</t>
        </is>
      </c>
      <c r="C837" s="7">
        <f>"vi. 胶化"&amp;CHAR(10)&amp;"n. [物化] 凝胶，胶体"&amp;CHAR(10)&amp;"n. (Gel)人名；(德、捷)格尔"</f>
        <v/>
      </c>
      <c r="E837" s="6" t="inlineStr">
        <is>
          <t>好多意思</t>
        </is>
      </c>
      <c r="G837" s="18">
        <f>HYPERLINK("D:\python\英语学习\voices\"&amp;B837&amp;"_1.mp3","BrE")</f>
        <v/>
      </c>
      <c r="H837" s="18">
        <f>HYPERLINK("D:\python\英语学习\voices\"&amp;B837&amp;"_2.mp3","AmE")</f>
        <v/>
      </c>
      <c r="I837" s="18">
        <f>HYPERLINK("http://dict.youdao.com/w/"&amp;B837,"有道")</f>
        <v/>
      </c>
    </row>
    <row customHeight="1" ht="28.5" r="838">
      <c r="B838" s="1" t="inlineStr">
        <is>
          <t>generalize</t>
        </is>
      </c>
      <c r="C838" s="7">
        <f>"vt. 概括；推广；使...一般化"&amp;CHAR(10)&amp;"vi. 形成概念"</f>
        <v/>
      </c>
      <c r="G838" s="18">
        <f>HYPERLINK("D:\python\英语学习\voices\"&amp;B838&amp;"_1.mp3","BrE")</f>
        <v/>
      </c>
      <c r="H838" s="18">
        <f>HYPERLINK("D:\python\英语学习\voices\"&amp;B838&amp;"_2.mp3","AmE")</f>
        <v/>
      </c>
      <c r="I838" s="18">
        <f>HYPERLINK("http://dict.youdao.com/w/"&amp;B838,"有道")</f>
        <v/>
      </c>
    </row>
    <row r="839">
      <c r="A839" s="1" t="inlineStr">
        <is>
          <t>unnecessary</t>
        </is>
      </c>
      <c r="B839" s="1" t="inlineStr">
        <is>
          <t>genus</t>
        </is>
      </c>
      <c r="C839" s="7">
        <f>"n. 类，种；[生物] 属"</f>
        <v/>
      </c>
      <c r="G839" s="18">
        <f>HYPERLINK("D:\python\英语学习\voices\"&amp;B839&amp;"_1.mp3","BrE")</f>
        <v/>
      </c>
      <c r="H839" s="18">
        <f>HYPERLINK("D:\python\英语学习\voices\"&amp;B839&amp;"_2.mp3","AmE")</f>
        <v/>
      </c>
      <c r="I839" s="18">
        <f>HYPERLINK("http://dict.youdao.com/w/"&amp;B839,"有道")</f>
        <v/>
      </c>
    </row>
    <row r="840">
      <c r="B840" s="1" t="inlineStr">
        <is>
          <t>geological</t>
        </is>
      </c>
      <c r="C840" s="7">
        <f>"adj. 地质的，地质学的"</f>
        <v/>
      </c>
      <c r="G840" s="18">
        <f>HYPERLINK("D:\python\英语学习\voices\"&amp;B840&amp;"_1.mp3","BrE")</f>
        <v/>
      </c>
      <c r="H840" s="18">
        <f>HYPERLINK("D:\python\英语学习\voices\"&amp;B840&amp;"_2.mp3","AmE")</f>
        <v/>
      </c>
      <c r="I840" s="18">
        <f>HYPERLINK("http://dict.youdao.com/w/"&amp;B840,"有道")</f>
        <v/>
      </c>
    </row>
    <row customHeight="1" ht="28.5" r="841">
      <c r="B841" s="1" t="inlineStr">
        <is>
          <t>germ</t>
        </is>
      </c>
      <c r="C841" s="7">
        <f>"n. [植] 胚芽，萌芽；细菌"&amp;CHAR(10)&amp;"vi. 萌芽"</f>
        <v/>
      </c>
      <c r="G841" s="18">
        <f>HYPERLINK("D:\python\英语学习\voices\"&amp;B841&amp;"_1.mp3","BrE")</f>
        <v/>
      </c>
      <c r="H841" s="18">
        <f>HYPERLINK("D:\python\英语学习\voices\"&amp;B841&amp;"_2.mp3","AmE")</f>
        <v/>
      </c>
      <c r="I841" s="18">
        <f>HYPERLINK("http://dict.youdao.com/w/"&amp;B841,"有道")</f>
        <v/>
      </c>
    </row>
    <row r="842">
      <c r="B842" s="1" t="inlineStr">
        <is>
          <t>germination</t>
        </is>
      </c>
      <c r="C842" s="7">
        <f>"n. 发芽；发生；伟晶作用"</f>
        <v/>
      </c>
      <c r="G842" s="18">
        <f>HYPERLINK("D:\python\英语学习\voices\"&amp;B842&amp;"_1.mp3","BrE")</f>
        <v/>
      </c>
      <c r="H842" s="18">
        <f>HYPERLINK("D:\python\英语学习\voices\"&amp;B842&amp;"_2.mp3","AmE")</f>
        <v/>
      </c>
      <c r="I842" s="18">
        <f>HYPERLINK("http://dict.youdao.com/w/"&amp;B842,"有道")</f>
        <v/>
      </c>
    </row>
    <row customHeight="1" ht="57" r="843">
      <c r="B843" s="1" t="inlineStr">
        <is>
          <t>gig</t>
        </is>
      </c>
      <c r="C843" s="7">
        <f>"n. 旋转物；鱼叉；轻便双轮马车；现场演出；临时工作"&amp;CHAR(10)&amp;"vi. 乘轻便双轮马车；起绒；叉鱼"&amp;CHAR(10)&amp;"vt. 使…起绒；用鱼叉叉；记过处分"</f>
        <v/>
      </c>
      <c r="G843" s="18">
        <f>HYPERLINK("D:\python\英语学习\voices\"&amp;B843&amp;"_1.mp3","BrE")</f>
        <v/>
      </c>
      <c r="H843" s="18">
        <f>HYPERLINK("D:\python\英语学习\voices\"&amp;B843&amp;"_2.mp3","AmE")</f>
        <v/>
      </c>
      <c r="I843" s="18">
        <f>HYPERLINK("http://dict.youdao.com/w/"&amp;B843,"有道")</f>
        <v/>
      </c>
    </row>
    <row customHeight="1" ht="42.75" r="844">
      <c r="B844" s="1" t="inlineStr">
        <is>
          <t>giggle</t>
        </is>
      </c>
      <c r="C844" s="7">
        <f>"vi. 傻笑；咯咯地笑"&amp;CHAR(10)&amp;"vt. 咯咯地笑着说"&amp;CHAR(10)&amp;"n. 吃吃的笑"</f>
        <v/>
      </c>
      <c r="G844" s="18">
        <f>HYPERLINK("D:\python\英语学习\voices\"&amp;B844&amp;"_1.mp3","BrE")</f>
        <v/>
      </c>
      <c r="H844" s="18">
        <f>HYPERLINK("D:\python\英语学习\voices\"&amp;B844&amp;"_2.mp3","AmE")</f>
        <v/>
      </c>
      <c r="I844" s="18">
        <f>HYPERLINK("http://dict.youdao.com/w/"&amp;B844,"有道")</f>
        <v/>
      </c>
    </row>
    <row customHeight="1" ht="28.5" r="845">
      <c r="B845" s="1" t="inlineStr">
        <is>
          <t>glamor</t>
        </is>
      </c>
      <c r="C845" s="7">
        <f>"n. 魅力；魔法；迷人的美（等于glamour）"&amp;CHAR(10)&amp;"vt. 迷惑；使有魅力（等于glamour）"</f>
        <v/>
      </c>
      <c r="E845" s="6" t="inlineStr">
        <is>
          <t>注意发音，末尾没有r的音</t>
        </is>
      </c>
      <c r="G845" s="18">
        <f>HYPERLINK("D:\python\英语学习\voices\"&amp;B845&amp;"_1.mp3","BrE")</f>
        <v/>
      </c>
      <c r="H845" s="18">
        <f>HYPERLINK("D:\python\英语学习\voices\"&amp;B845&amp;"_2.mp3","AmE")</f>
        <v/>
      </c>
      <c r="I845" s="18">
        <f>HYPERLINK("http://dict.youdao.com/w/"&amp;B845,"有道")</f>
        <v/>
      </c>
    </row>
    <row r="846">
      <c r="B846" s="1" t="inlineStr">
        <is>
          <t>glamorous</t>
        </is>
      </c>
      <c r="C846" s="7">
        <f>"adj. 迷人的，富有魅力的"</f>
        <v/>
      </c>
      <c r="G846" s="18">
        <f>HYPERLINK("D:\python\英语学习\voices\"&amp;B846&amp;"_1.mp3","BrE")</f>
        <v/>
      </c>
      <c r="H846" s="18">
        <f>HYPERLINK("D:\python\英语学习\voices\"&amp;B846&amp;"_2.mp3","AmE")</f>
        <v/>
      </c>
      <c r="I846" s="18">
        <f>HYPERLINK("http://dict.youdao.com/w/"&amp;B846,"有道")</f>
        <v/>
      </c>
    </row>
    <row customHeight="1" ht="28.5" r="847">
      <c r="B847" s="1" t="inlineStr">
        <is>
          <t>gland</t>
        </is>
      </c>
      <c r="C847" s="7">
        <f>"n. 腺"&amp;CHAR(10)&amp;"密封压盖"</f>
        <v/>
      </c>
      <c r="G847" s="18">
        <f>HYPERLINK("D:\python\英语学习\voices\"&amp;B847&amp;"_1.mp3","BrE")</f>
        <v/>
      </c>
      <c r="H847" s="18">
        <f>HYPERLINK("D:\python\英语学习\voices\"&amp;B847&amp;"_2.mp3","AmE")</f>
        <v/>
      </c>
      <c r="I847" s="18">
        <f>HYPERLINK("http://dict.youdao.com/w/"&amp;B847,"有道")</f>
        <v/>
      </c>
    </row>
    <row customHeight="1" ht="57" r="848">
      <c r="B848" s="1" t="inlineStr">
        <is>
          <t>glaze</t>
        </is>
      </c>
      <c r="C848" s="7">
        <f>"vt. 装以玻璃；上釉于"&amp;CHAR(10)&amp;"vi. 变呆滞；变得光滑"&amp;CHAR(10)&amp;"n. 釉；光滑面"&amp;CHAR(10)&amp;"n. (Glaze)人名；(英)格莱兹"</f>
        <v/>
      </c>
      <c r="G848" s="18">
        <f>HYPERLINK("D:\python\英语学习\voices\"&amp;B848&amp;"_1.mp3","BrE")</f>
        <v/>
      </c>
      <c r="H848" s="18">
        <f>HYPERLINK("D:\python\英语学习\voices\"&amp;B848&amp;"_2.mp3","AmE")</f>
        <v/>
      </c>
      <c r="I848" s="18">
        <f>HYPERLINK("http://dict.youdao.com/w/"&amp;B848,"有道")</f>
        <v/>
      </c>
    </row>
    <row customHeight="1" ht="42.75" r="849">
      <c r="B849" s="1" t="inlineStr">
        <is>
          <t>gleam</t>
        </is>
      </c>
      <c r="C849" s="7">
        <f>"n. 微光；闪光；瞬息的一现"&amp;CHAR(10)&amp;"vi. 闪烁；隐约地闪现"&amp;CHAR(10)&amp;"vt. 使闪烁；使发微光"</f>
        <v/>
      </c>
      <c r="G849" s="18">
        <f>HYPERLINK("D:\python\英语学习\voices\"&amp;B849&amp;"_1.mp3","BrE")</f>
        <v/>
      </c>
      <c r="H849" s="18">
        <f>HYPERLINK("D:\python\英语学习\voices\"&amp;B849&amp;"_2.mp3","AmE")</f>
        <v/>
      </c>
      <c r="I849" s="18">
        <f>HYPERLINK("http://dict.youdao.com/w/"&amp;B849,"有道")</f>
        <v/>
      </c>
    </row>
    <row r="850">
      <c r="B850" s="1" t="inlineStr">
        <is>
          <t>gloom</t>
        </is>
      </c>
      <c r="C850" s="7">
        <f>"n. 昏暗；阴暗"</f>
        <v/>
      </c>
      <c r="G850" s="18">
        <f>HYPERLINK("D:\python\英语学习\voices\"&amp;B850&amp;"_1.mp3","BrE")</f>
        <v/>
      </c>
      <c r="H850" s="18">
        <f>HYPERLINK("D:\python\英语学习\voices\"&amp;B850&amp;"_2.mp3","AmE")</f>
        <v/>
      </c>
      <c r="I850" s="18">
        <f>HYPERLINK("http://dict.youdao.com/w/"&amp;B850,"有道")</f>
        <v/>
      </c>
    </row>
    <row r="851">
      <c r="B851" s="1" t="inlineStr">
        <is>
          <t>gloomy</t>
        </is>
      </c>
      <c r="C851" s="7">
        <f>"adj. 黑暗的；沮丧的；阴郁的"</f>
        <v/>
      </c>
      <c r="G851" s="18">
        <f>HYPERLINK("D:\python\英语学习\voices\"&amp;B851&amp;"_1.mp3","BrE")</f>
        <v/>
      </c>
      <c r="H851" s="18">
        <f>HYPERLINK("D:\python\英语学习\voices\"&amp;B851&amp;"_2.mp3","AmE")</f>
        <v/>
      </c>
      <c r="I851" s="18">
        <f>HYPERLINK("http://dict.youdao.com/w/"&amp;B851,"有道")</f>
        <v/>
      </c>
    </row>
    <row r="852">
      <c r="B852" s="1" t="inlineStr">
        <is>
          <t>glorify</t>
        </is>
      </c>
      <c r="C852" s="7">
        <f>"vt. 赞美；美化；崇拜（神）；使更壮丽"</f>
        <v/>
      </c>
      <c r="G852" s="18">
        <f>HYPERLINK("D:\python\英语学习\voices\"&amp;B852&amp;"_1.mp3","BrE")</f>
        <v/>
      </c>
      <c r="H852" s="18">
        <f>HYPERLINK("D:\python\英语学习\voices\"&amp;B852&amp;"_2.mp3","AmE")</f>
        <v/>
      </c>
      <c r="I852" s="18">
        <f>HYPERLINK("http://dict.youdao.com/w/"&amp;B852,"有道")</f>
        <v/>
      </c>
    </row>
    <row customHeight="1" ht="42.75" r="853">
      <c r="B853" s="1" t="inlineStr">
        <is>
          <t>gloss</t>
        </is>
      </c>
      <c r="C853" s="7">
        <f>"n. 光彩；注释；假象"&amp;CHAR(10)&amp;"vt. 使光彩；掩盖；注释"&amp;CHAR(10)&amp;"n. (Gloss)人名；(德、西、捷)格洛斯"</f>
        <v/>
      </c>
      <c r="G853" s="18">
        <f>HYPERLINK("D:\python\英语学习\voices\"&amp;B853&amp;"_1.mp3","BrE")</f>
        <v/>
      </c>
      <c r="H853" s="18">
        <f>HYPERLINK("D:\python\英语学习\voices\"&amp;B853&amp;"_2.mp3","AmE")</f>
        <v/>
      </c>
      <c r="I853" s="18">
        <f>HYPERLINK("http://dict.youdao.com/w/"&amp;B853,"有道")</f>
        <v/>
      </c>
    </row>
    <row customHeight="1" ht="29.1" r="854">
      <c r="A854" s="1" t="inlineStr">
        <is>
          <t>unnecessary</t>
        </is>
      </c>
      <c r="B854" s="1" t="inlineStr">
        <is>
          <t>glossary</t>
        </is>
      </c>
      <c r="C854" s="7">
        <f>"n. 术语（特殊用语）表；词汇表；专业词典"</f>
        <v/>
      </c>
      <c r="G854" s="18">
        <f>HYPERLINK("D:\python\英语学习\voices\"&amp;B854&amp;"_1.mp3","BrE")</f>
        <v/>
      </c>
      <c r="H854" s="18">
        <f>HYPERLINK("D:\python\英语学习\voices\"&amp;B854&amp;"_2.mp3","AmE")</f>
        <v/>
      </c>
      <c r="I854" s="18">
        <f>HYPERLINK("http://dict.youdao.com/w/"&amp;B854,"有道")</f>
        <v/>
      </c>
    </row>
    <row customHeight="1" ht="28.5" r="855">
      <c r="A855" s="1" t="inlineStr">
        <is>
          <t>important</t>
        </is>
      </c>
      <c r="B855" s="1" t="inlineStr">
        <is>
          <t>unravel</t>
        </is>
      </c>
      <c r="C855" s="7">
        <f>"vt. 解开；阐明；解决；拆散"&amp;CHAR(10)&amp;"vi. 解决；散开"</f>
        <v/>
      </c>
      <c r="G855" s="18">
        <f>HYPERLINK("D:\python\英语学习\voices\"&amp;B855&amp;"_1.mp3","BrE")</f>
        <v/>
      </c>
      <c r="H855" s="18">
        <f>HYPERLINK("D:\python\英语学习\voices\"&amp;B855&amp;"_2.mp3","AmE")</f>
        <v/>
      </c>
      <c r="I855" s="18">
        <f>HYPERLINK("http://dict.youdao.com/w/"&amp;B855,"有道")</f>
        <v/>
      </c>
    </row>
    <row r="856">
      <c r="A856" s="1" t="inlineStr">
        <is>
          <t>unnecessary</t>
        </is>
      </c>
      <c r="B856" s="1" t="inlineStr">
        <is>
          <t>glucose</t>
        </is>
      </c>
      <c r="C856" s="7">
        <f>"n. 葡萄糖；葡糖（等于dextrose）"</f>
        <v/>
      </c>
      <c r="G856" s="18">
        <f>HYPERLINK("D:\python\英语学习\voices\"&amp;B856&amp;"_1.mp3","BrE")</f>
        <v/>
      </c>
      <c r="H856" s="18">
        <f>HYPERLINK("D:\python\英语学习\voices\"&amp;B856&amp;"_2.mp3","AmE")</f>
        <v/>
      </c>
      <c r="I856" s="18">
        <f>HYPERLINK("http://dict.youdao.com/w/"&amp;B856,"有道")</f>
        <v/>
      </c>
    </row>
    <row customHeight="1" ht="28.5" r="857">
      <c r="B857" s="1" t="inlineStr">
        <is>
          <t>gnaw</t>
        </is>
      </c>
      <c r="C857" s="7">
        <f>"vt. 咬；折磨；侵蚀"&amp;CHAR(10)&amp;"vi. 咬；折磨；侵蚀"</f>
        <v/>
      </c>
      <c r="G857" s="18">
        <f>HYPERLINK("D:\python\英语学习\voices\"&amp;B857&amp;"_1.mp3","BrE")</f>
        <v/>
      </c>
      <c r="H857" s="18">
        <f>HYPERLINK("D:\python\英语学习\voices\"&amp;B857&amp;"_2.mp3","AmE")</f>
        <v/>
      </c>
      <c r="I857" s="18">
        <f>HYPERLINK("http://dict.youdao.com/w/"&amp;B857,"有道")</f>
        <v/>
      </c>
    </row>
    <row r="858">
      <c r="B858" s="1" t="inlineStr">
        <is>
          <t>gorgeous</t>
        </is>
      </c>
      <c r="C858" s="7">
        <f>"adj. 华丽的，灿烂的；极好的"</f>
        <v/>
      </c>
      <c r="G858" s="18">
        <f>HYPERLINK("D:\python\英语学习\voices\"&amp;B858&amp;"_1.mp3","BrE")</f>
        <v/>
      </c>
      <c r="H858" s="18">
        <f>HYPERLINK("D:\python\英语学习\voices\"&amp;B858&amp;"_2.mp3","AmE")</f>
        <v/>
      </c>
      <c r="I858" s="18">
        <f>HYPERLINK("http://dict.youdao.com/w/"&amp;B858,"有道")</f>
        <v/>
      </c>
    </row>
    <row r="859">
      <c r="B859" s="1" t="inlineStr">
        <is>
          <t>gorilla</t>
        </is>
      </c>
      <c r="C859" s="7">
        <f>"n. 大猩猩"</f>
        <v/>
      </c>
      <c r="G859" s="18">
        <f>HYPERLINK("D:\python\英语学习\voices\"&amp;B859&amp;"_1.mp3","BrE")</f>
        <v/>
      </c>
      <c r="H859" s="18">
        <f>HYPERLINK("D:\python\英语学习\voices\"&amp;B859&amp;"_2.mp3","AmE")</f>
        <v/>
      </c>
      <c r="I859" s="18">
        <f>HYPERLINK("http://dict.youdao.com/w/"&amp;B859,"有道")</f>
        <v/>
      </c>
    </row>
    <row customHeight="1" ht="28.5" r="860">
      <c r="B860" s="1" t="inlineStr">
        <is>
          <t>gracious</t>
        </is>
      </c>
      <c r="C860" s="7">
        <f>"adj. 亲切的；高尚的；和蔼的；雅致的"&amp;CHAR(10)&amp;"int. 天哪；哎呀"</f>
        <v/>
      </c>
      <c r="G860" s="18">
        <f>HYPERLINK("D:\python\英语学习\voices\"&amp;B860&amp;"_1.mp3","BrE")</f>
        <v/>
      </c>
      <c r="H860" s="18">
        <f>HYPERLINK("D:\python\英语学习\voices\"&amp;B860&amp;"_2.mp3","AmE")</f>
        <v/>
      </c>
      <c r="I860" s="18">
        <f>HYPERLINK("http://dict.youdao.com/w/"&amp;B860,"有道")</f>
        <v/>
      </c>
    </row>
    <row customHeight="1" ht="28.5" r="861">
      <c r="B861" s="1" t="inlineStr">
        <is>
          <t>gramophone</t>
        </is>
      </c>
      <c r="C861" s="7">
        <f>"n. 留声机"&amp;CHAR(10)&amp;"vt. 用唱片录制；用唱机播放"</f>
        <v/>
      </c>
      <c r="G861" s="18">
        <f>HYPERLINK("D:\python\英语学习\voices\"&amp;B861&amp;"_1.mp3","BrE")</f>
        <v/>
      </c>
      <c r="H861" s="18">
        <f>HYPERLINK("D:\python\英语学习\voices\"&amp;B861&amp;"_2.mp3","AmE")</f>
        <v/>
      </c>
      <c r="I861" s="18">
        <f>HYPERLINK("http://dict.youdao.com/w/"&amp;B861,"有道")</f>
        <v/>
      </c>
    </row>
    <row customHeight="1" ht="28.5" r="862">
      <c r="B862" s="1" t="inlineStr">
        <is>
          <t>graphite</t>
        </is>
      </c>
      <c r="C862" s="7">
        <f>"n. 石墨；黑铅"&amp;CHAR(10)&amp;"v. 用石墨涂（或掺入等）"</f>
        <v/>
      </c>
      <c r="G862" s="18">
        <f>HYPERLINK("D:\python\英语学习\voices\"&amp;B862&amp;"_1.mp3","BrE")</f>
        <v/>
      </c>
      <c r="H862" s="18">
        <f>HYPERLINK("D:\python\英语学习\voices\"&amp;B862&amp;"_2.mp3","AmE")</f>
        <v/>
      </c>
      <c r="I862" s="18">
        <f>HYPERLINK("http://dict.youdao.com/w/"&amp;B862,"有道")</f>
        <v/>
      </c>
    </row>
    <row customHeight="1" ht="42.75" r="863">
      <c r="B863" s="1" t="inlineStr">
        <is>
          <t>grapple</t>
        </is>
      </c>
      <c r="C863" s="7">
        <f>"vi. 抓住；格斗；抓斗机"&amp;CHAR(10)&amp;"vt. 抓住；与…格斗"&amp;CHAR(10)&amp;"n. 抓住；格斗"</f>
        <v/>
      </c>
      <c r="G863" s="18">
        <f>HYPERLINK("D:\python\英语学习\voices\"&amp;B863&amp;"_1.mp3","BrE")</f>
        <v/>
      </c>
      <c r="H863" s="18">
        <f>HYPERLINK("D:\python\英语学习\voices\"&amp;B863&amp;"_2.mp3","AmE")</f>
        <v/>
      </c>
      <c r="I863" s="18">
        <f>HYPERLINK("http://dict.youdao.com/w/"&amp;B863,"有道")</f>
        <v/>
      </c>
    </row>
    <row customHeight="1" ht="57" r="864">
      <c r="B864" s="1" t="inlineStr">
        <is>
          <t>grate</t>
        </is>
      </c>
      <c r="C864" s="7">
        <f>"vt. 装格栅于；磨擦"&amp;CHAR(10)&amp;"vi. 发摩擦声"&amp;CHAR(10)&amp;"n. 壁炉；格栅"&amp;CHAR(10)&amp;"n. (Grate)人名；(瑞典)格拉特"</f>
        <v/>
      </c>
      <c r="G864" s="18">
        <f>HYPERLINK("D:\python\英语学习\voices\"&amp;B864&amp;"_1.mp3","BrE")</f>
        <v/>
      </c>
      <c r="H864" s="18">
        <f>HYPERLINK("D:\python\英语学习\voices\"&amp;B864&amp;"_2.mp3","AmE")</f>
        <v/>
      </c>
      <c r="I864" s="18">
        <f>HYPERLINK("http://dict.youdao.com/w/"&amp;B864,"有道")</f>
        <v/>
      </c>
    </row>
    <row customHeight="1" ht="71.25" r="865">
      <c r="B865" s="1" t="inlineStr">
        <is>
          <t>grave</t>
        </is>
      </c>
      <c r="C865" s="7">
        <f>"adj. 重大的；严肃的；黯淡的"&amp;CHAR(10)&amp;"n. 墓穴，坟墓；死亡"&amp;CHAR(10)&amp;"vt. 雕刻；铭记"&amp;CHAR(10)&amp;"n. (Grave)人名；(英)格雷夫；(德、瑞典)格拉弗；(法)格拉夫；(俄、葡)格拉韦"</f>
        <v/>
      </c>
      <c r="G865" s="18">
        <f>HYPERLINK("D:\python\英语学习\voices\"&amp;B865&amp;"_1.mp3","BrE")</f>
        <v/>
      </c>
      <c r="H865" s="18">
        <f>HYPERLINK("D:\python\英语学习\voices\"&amp;B865&amp;"_2.mp3","AmE")</f>
        <v/>
      </c>
      <c r="I865" s="18">
        <f>HYPERLINK("http://dict.youdao.com/w/"&amp;B865,"有道")</f>
        <v/>
      </c>
    </row>
    <row customHeight="1" ht="42.75" r="866">
      <c r="B866" s="1" t="inlineStr">
        <is>
          <t>gravel</t>
        </is>
      </c>
      <c r="C866" s="7">
        <f>"n. 碎石；砂砾"&amp;CHAR(10)&amp;"vt. 用碎石铺；使船搁浅在沙滩上；使困惑"&amp;CHAR(10)&amp;"n. (Gravel)人名；(英、法、西)格拉韦尔"</f>
        <v/>
      </c>
      <c r="G866" s="18">
        <f>HYPERLINK("D:\python\英语学习\voices\"&amp;B866&amp;"_1.mp3","BrE")</f>
        <v/>
      </c>
      <c r="H866" s="18">
        <f>HYPERLINK("D:\python\英语学习\voices\"&amp;B866&amp;"_2.mp3","AmE")</f>
        <v/>
      </c>
      <c r="I866" s="18">
        <f>HYPERLINK("http://dict.youdao.com/w/"&amp;B866,"有道")</f>
        <v/>
      </c>
    </row>
    <row customHeight="1" ht="28.5" r="867">
      <c r="B867" s="1" t="inlineStr">
        <is>
          <t>gravely</t>
        </is>
      </c>
      <c r="C867" s="7">
        <f>"adv. 严重地；严肃地；严峻地；沉重地"&amp;CHAR(10)&amp;"n. (Gravely)人名；(英)格雷夫利"</f>
        <v/>
      </c>
      <c r="G867" s="18">
        <f>HYPERLINK("D:\python\英语学习\voices\"&amp;B867&amp;"_1.mp3","BrE")</f>
        <v/>
      </c>
      <c r="H867" s="18">
        <f>HYPERLINK("D:\python\英语学习\voices\"&amp;B867&amp;"_2.mp3","AmE")</f>
        <v/>
      </c>
      <c r="I867" s="18">
        <f>HYPERLINK("http://dict.youdao.com/w/"&amp;B867,"有道")</f>
        <v/>
      </c>
    </row>
    <row customHeight="1" ht="42.75" r="868">
      <c r="B868" s="1" t="inlineStr">
        <is>
          <t>graze</t>
        </is>
      </c>
      <c r="C868" s="7">
        <f>"vt. 放牧；擦伤"&amp;CHAR(10)&amp;"vi. 吃草；擦伤"&amp;CHAR(10)&amp;"n. 放牧；轻擦"</f>
        <v/>
      </c>
      <c r="G868" s="18">
        <f>HYPERLINK("D:\python\英语学习\voices\"&amp;B868&amp;"_1.mp3","BrE")</f>
        <v/>
      </c>
      <c r="H868" s="18">
        <f>HYPERLINK("D:\python\英语学习\voices\"&amp;B868&amp;"_2.mp3","AmE")</f>
        <v/>
      </c>
      <c r="I868" s="18">
        <f>HYPERLINK("http://dict.youdao.com/w/"&amp;B868,"有道")</f>
        <v/>
      </c>
    </row>
    <row customHeight="1" ht="28.5" r="869">
      <c r="B869" s="1" t="inlineStr">
        <is>
          <t>grease</t>
        </is>
      </c>
      <c r="C869" s="7">
        <f>"vt. 涂脂于；贿赂"&amp;CHAR(10)&amp;"n. 油脂；贿赂"</f>
        <v/>
      </c>
      <c r="E869" s="6" t="inlineStr">
        <is>
          <t>grease the wheels 使顺利进行</t>
        </is>
      </c>
      <c r="G869" s="18">
        <f>HYPERLINK("D:\python\英语学习\voices\"&amp;B869&amp;"_1.mp3","BrE")</f>
        <v/>
      </c>
      <c r="H869" s="18">
        <f>HYPERLINK("D:\python\英语学习\voices\"&amp;B869&amp;"_2.mp3","AmE")</f>
        <v/>
      </c>
      <c r="I869" s="18">
        <f>HYPERLINK("http://dict.youdao.com/w/"&amp;B869,"有道")</f>
        <v/>
      </c>
    </row>
    <row r="870">
      <c r="A870" s="1" t="inlineStr">
        <is>
          <t>unnecessary</t>
        </is>
      </c>
      <c r="B870" s="1" t="inlineStr">
        <is>
          <t>greed</t>
        </is>
      </c>
      <c r="C870" s="7">
        <f>"n. 贪婪，贪心"</f>
        <v/>
      </c>
      <c r="G870" s="18">
        <f>HYPERLINK("D:\python\英语学习\voices\"&amp;B870&amp;"_1.mp3","BrE")</f>
        <v/>
      </c>
      <c r="H870" s="18">
        <f>HYPERLINK("D:\python\英语学习\voices\"&amp;B870&amp;"_2.mp3","AmE")</f>
        <v/>
      </c>
      <c r="I870" s="18">
        <f>HYPERLINK("http://dict.youdao.com/w/"&amp;B870,"有道")</f>
        <v/>
      </c>
    </row>
    <row r="871">
      <c r="B871" s="1" t="inlineStr">
        <is>
          <t>grievance</t>
        </is>
      </c>
      <c r="C871" s="7">
        <f>"n. 不满，不平；委屈；冤情"</f>
        <v/>
      </c>
      <c r="G871" s="18">
        <f>HYPERLINK("D:\python\英语学习\voices\"&amp;B871&amp;"_1.mp3","BrE")</f>
        <v/>
      </c>
      <c r="H871" s="18">
        <f>HYPERLINK("D:\python\英语学习\voices\"&amp;B871&amp;"_2.mp3","AmE")</f>
        <v/>
      </c>
      <c r="I871" s="18">
        <f>HYPERLINK("http://dict.youdao.com/w/"&amp;B871,"有道")</f>
        <v/>
      </c>
    </row>
    <row customHeight="1" ht="42.75" r="872">
      <c r="B872" s="1" t="inlineStr">
        <is>
          <t>grieve</t>
        </is>
      </c>
      <c r="C872" s="7">
        <f>"vt. 使悲伤，使苦恼"&amp;CHAR(10)&amp;"vi. 悲痛，哀悼"&amp;CHAR(10)&amp;"n. (Grieve)人名；(英)格里夫"</f>
        <v/>
      </c>
      <c r="G872" s="18">
        <f>HYPERLINK("D:\python\英语学习\voices\"&amp;B872&amp;"_1.mp3","BrE")</f>
        <v/>
      </c>
      <c r="H872" s="18">
        <f>HYPERLINK("D:\python\英语学习\voices\"&amp;B872&amp;"_2.mp3","AmE")</f>
        <v/>
      </c>
      <c r="I872" s="18">
        <f>HYPERLINK("http://dict.youdao.com/w/"&amp;B872,"有道")</f>
        <v/>
      </c>
    </row>
    <row customHeight="1" ht="28.5" r="873">
      <c r="B873" s="1" t="inlineStr">
        <is>
          <t>grim</t>
        </is>
      </c>
      <c r="C873" s="7">
        <f>"adj. 冷酷的；糟糕的；残忍的"&amp;CHAR(10)&amp;"n. (Grim)人名；(英、德、俄、捷、匈)格里姆"</f>
        <v/>
      </c>
      <c r="E873" s="6" t="inlineStr">
        <is>
          <t>grim sky 冷酷的天</t>
        </is>
      </c>
      <c r="G873" s="18">
        <f>HYPERLINK("D:\python\英语学习\voices\"&amp;B873&amp;"_1.mp3","BrE")</f>
        <v/>
      </c>
      <c r="H873" s="18">
        <f>HYPERLINK("D:\python\英语学习\voices\"&amp;B873&amp;"_2.mp3","AmE")</f>
        <v/>
      </c>
      <c r="I873" s="18">
        <f>HYPERLINK("http://dict.youdao.com/w/"&amp;B873,"有道")</f>
        <v/>
      </c>
    </row>
    <row customHeight="1" ht="42.75" r="874">
      <c r="B874" s="1" t="inlineStr">
        <is>
          <t>grin</t>
        </is>
      </c>
      <c r="C874" s="7">
        <f>"v. 露齿而笑，咧着嘴笑"&amp;CHAR(10)&amp;"n. 露齿笑"&amp;CHAR(10)&amp;"n. (Grin)人名；(法)格兰；(俄、罗、英)格林"</f>
        <v/>
      </c>
      <c r="G874" s="18">
        <f>HYPERLINK("D:\python\英语学习\voices\"&amp;B874&amp;"_1.mp3","BrE")</f>
        <v/>
      </c>
      <c r="H874" s="18">
        <f>HYPERLINK("D:\python\英语学习\voices\"&amp;B874&amp;"_2.mp3","AmE")</f>
        <v/>
      </c>
      <c r="I874" s="18">
        <f>HYPERLINK("http://dict.youdao.com/w/"&amp;B874,"有道")</f>
        <v/>
      </c>
    </row>
    <row customHeight="1" ht="57" r="875">
      <c r="B875" s="1" t="inlineStr">
        <is>
          <t>grip</t>
        </is>
      </c>
      <c r="C875" s="7">
        <f>"n. 紧握；柄；支配；握拍方式；拍柄绷带"&amp;CHAR(10)&amp;"vt. 紧握；夹紧"&amp;CHAR(10)&amp;"vi. 抓住"&amp;CHAR(10)&amp;"n. (Grip)人名；(英、瑞典)格里普"</f>
        <v/>
      </c>
      <c r="G875" s="18">
        <f>HYPERLINK("D:\python\英语学习\voices\"&amp;B875&amp;"_1.mp3","BrE")</f>
        <v/>
      </c>
      <c r="H875" s="18">
        <f>HYPERLINK("D:\python\英语学习\voices\"&amp;B875&amp;"_2.mp3","AmE")</f>
        <v/>
      </c>
      <c r="I875" s="18">
        <f>HYPERLINK("http://dict.youdao.com/w/"&amp;B875,"有道")</f>
        <v/>
      </c>
    </row>
    <row customHeight="1" ht="42.75" r="876">
      <c r="B876" s="1" t="inlineStr">
        <is>
          <t>groan</t>
        </is>
      </c>
      <c r="C876" s="7">
        <f>"vi. 呻吟；抱怨；发吱嘎声"&amp;CHAR(10)&amp;"vt. 呻吟；抱怨"&amp;CHAR(10)&amp;"n. 呻吟；叹息；吱嘎声"</f>
        <v/>
      </c>
      <c r="G876" s="18">
        <f>HYPERLINK("D:\python\英语学习\voices\"&amp;B876&amp;"_1.mp3","BrE")</f>
        <v/>
      </c>
      <c r="H876" s="18">
        <f>HYPERLINK("D:\python\英语学习\voices\"&amp;B876&amp;"_2.mp3","AmE")</f>
        <v/>
      </c>
      <c r="I876" s="18">
        <f>HYPERLINK("http://dict.youdao.com/w/"&amp;B876,"有道")</f>
        <v/>
      </c>
    </row>
    <row customHeight="1" ht="42.75" r="877">
      <c r="B877" s="1" t="inlineStr">
        <is>
          <t>groom</t>
        </is>
      </c>
      <c r="C877" s="7">
        <f>"vt. 整饰；推荐；喂马；刷洗（马等）"&amp;CHAR(10)&amp;"vi. 打扮"&amp;CHAR(10)&amp;"n. 新郎；马夫；男仆"</f>
        <v/>
      </c>
      <c r="G877" s="18">
        <f>HYPERLINK("D:\python\英语学习\voices\"&amp;B877&amp;"_1.mp3","BrE")</f>
        <v/>
      </c>
      <c r="H877" s="18">
        <f>HYPERLINK("D:\python\英语学习\voices\"&amp;B877&amp;"_2.mp3","AmE")</f>
        <v/>
      </c>
      <c r="I877" s="18">
        <f>HYPERLINK("http://dict.youdao.com/w/"&amp;B877,"有道")</f>
        <v/>
      </c>
    </row>
    <row customHeight="1" ht="42.75" r="878">
      <c r="B878" s="1" t="inlineStr">
        <is>
          <t>groove</t>
        </is>
      </c>
      <c r="C878" s="7">
        <f>"n. [建] 凹槽，槽；最佳状态；惯例"&amp;CHAR(10)&amp;"vt. 开槽于"&amp;CHAR(10)&amp;"vi. 形成沟槽"</f>
        <v/>
      </c>
      <c r="G878" s="18">
        <f>HYPERLINK("D:\python\英语学习\voices\"&amp;B878&amp;"_1.mp3","BrE")</f>
        <v/>
      </c>
      <c r="H878" s="18">
        <f>HYPERLINK("D:\python\英语学习\voices\"&amp;B878&amp;"_2.mp3","AmE")</f>
        <v/>
      </c>
      <c r="I878" s="18">
        <f>HYPERLINK("http://dict.youdao.com/w/"&amp;B878,"有道")</f>
        <v/>
      </c>
    </row>
    <row customHeight="1" ht="57" r="879">
      <c r="B879" s="1" t="inlineStr">
        <is>
          <t>grope</t>
        </is>
      </c>
      <c r="C879" s="7">
        <f>"vi. 摸索；探索"&amp;CHAR(10)&amp;"vt. 摸索"&amp;CHAR(10)&amp;"n. 摸索；触摸"&amp;CHAR(10)&amp;"n. (Grope)人名；(德)格罗佩"</f>
        <v/>
      </c>
      <c r="E879" t="inlineStr">
        <is>
          <t>(informal)猥亵，上下其手</t>
        </is>
      </c>
      <c r="G879" s="18">
        <f>HYPERLINK("D:\python\英语学习\voices\"&amp;B879&amp;"_1.mp3","BrE")</f>
        <v/>
      </c>
      <c r="H879" s="18">
        <f>HYPERLINK("D:\python\英语学习\voices\"&amp;B879&amp;"_2.mp3","AmE")</f>
        <v/>
      </c>
      <c r="I879" s="18">
        <f>HYPERLINK("http://dict.youdao.com/w/"&amp;B879,"有道")</f>
        <v/>
      </c>
    </row>
    <row customHeight="1" ht="71.25" r="880">
      <c r="B880" s="1" t="inlineStr">
        <is>
          <t>ground</t>
        </is>
      </c>
      <c r="C880" s="7">
        <f>"n. 地面；土地；范围；战场;根据"&amp;CHAR(10)&amp;"vt. 使接触地面；打基础；使搁浅"&amp;CHAR(10)&amp;"vi. 着陆；搁浅"&amp;CHAR(10)&amp;"adj. 土地的；地面上的；磨碎的；磨过的"&amp;CHAR(10)&amp;"v. 研磨（grind的过去分词）；压迫"</f>
        <v/>
      </c>
      <c r="E880" s="6" t="inlineStr">
        <is>
          <t>好多意思-adj v n</t>
        </is>
      </c>
      <c r="G880" s="18">
        <f>HYPERLINK("D:\python\英语学习\voices\"&amp;B880&amp;"_1.mp3","BrE")</f>
        <v/>
      </c>
      <c r="H880" s="18">
        <f>HYPERLINK("D:\python\英语学习\voices\"&amp;B880&amp;"_2.mp3","AmE")</f>
        <v/>
      </c>
      <c r="I880" s="18">
        <f>HYPERLINK("http://dict.youdao.com/w/"&amp;B880,"有道")</f>
        <v/>
      </c>
    </row>
    <row r="881">
      <c r="B881" s="1" t="inlineStr">
        <is>
          <t>grove</t>
        </is>
      </c>
      <c r="C881" s="7">
        <f>"n. 小树林；果园"</f>
        <v/>
      </c>
      <c r="G881" s="18">
        <f>HYPERLINK("D:\python\英语学习\voices\"&amp;B881&amp;"_1.mp3","BrE")</f>
        <v/>
      </c>
      <c r="H881" s="18">
        <f>HYPERLINK("D:\python\英语学习\voices\"&amp;B881&amp;"_2.mp3","AmE")</f>
        <v/>
      </c>
      <c r="I881" s="18">
        <f>HYPERLINK("http://dict.youdao.com/w/"&amp;B881,"有道")</f>
        <v/>
      </c>
    </row>
    <row customHeight="1" ht="42.75" r="882">
      <c r="B882" s="1" t="inlineStr">
        <is>
          <t>growl</t>
        </is>
      </c>
      <c r="C882" s="7">
        <f>"vi. 咆哮着说"&amp;CHAR(10)&amp;"vt. 咆哮；（雷电，炮等）轰鸣"&amp;CHAR(10)&amp;"n. 咆哮声；吠声；不平"</f>
        <v/>
      </c>
      <c r="G882" s="18">
        <f>HYPERLINK("D:\python\英语学习\voices\"&amp;B882&amp;"_1.mp3","BrE")</f>
        <v/>
      </c>
      <c r="H882" s="18">
        <f>HYPERLINK("D:\python\英语学习\voices\"&amp;B882&amp;"_2.mp3","AmE")</f>
        <v/>
      </c>
      <c r="I882" s="18">
        <f>HYPERLINK("http://dict.youdao.com/w/"&amp;B882,"有道")</f>
        <v/>
      </c>
    </row>
    <row customHeight="1" ht="57" r="883">
      <c r="B883" s="1" t="inlineStr">
        <is>
          <t>grumble</t>
        </is>
      </c>
      <c r="C883" s="7">
        <f>"vi. 抱怨；嘟囔"&amp;CHAR(10)&amp;"n. 怨言"&amp;CHAR(10)&amp;"vt. 喃喃地说出"&amp;CHAR(10)&amp;"adv. 抱怨地表示；嘟囔地说"</f>
        <v/>
      </c>
      <c r="G883" s="18">
        <f>HYPERLINK("D:\python\英语学习\voices\"&amp;B883&amp;"_1.mp3","BrE")</f>
        <v/>
      </c>
      <c r="H883" s="18">
        <f>HYPERLINK("D:\python\英语学习\voices\"&amp;B883&amp;"_2.mp3","AmE")</f>
        <v/>
      </c>
      <c r="I883" s="18">
        <f>HYPERLINK("http://dict.youdao.com/w/"&amp;B883,"有道")</f>
        <v/>
      </c>
    </row>
    <row customHeight="1" ht="57" r="884">
      <c r="B884" s="1" t="inlineStr">
        <is>
          <t>grunt</t>
        </is>
      </c>
      <c r="C884" s="7">
        <f>"n. 咕哝；呼噜声"&amp;CHAR(10)&amp;"vi. 作呼噜声；发哼声"&amp;CHAR(10)&amp;"vt. 咕哝着说"&amp;CHAR(10)&amp;"n. (Grunt)人名；(俄、捷、英)格伦特"</f>
        <v/>
      </c>
      <c r="G884" s="18">
        <f>HYPERLINK("D:\python\英语学习\voices\"&amp;B884&amp;"_1.mp3","BrE")</f>
        <v/>
      </c>
      <c r="H884" s="18">
        <f>HYPERLINK("D:\python\英语学习\voices\"&amp;B884&amp;"_2.mp3","AmE")</f>
        <v/>
      </c>
      <c r="I884" s="18">
        <f>HYPERLINK("http://dict.youdao.com/w/"&amp;B884,"有道")</f>
        <v/>
      </c>
    </row>
    <row customHeight="1" ht="28.5" r="885">
      <c r="B885" s="1" t="inlineStr">
        <is>
          <t>guild</t>
        </is>
      </c>
      <c r="C885" s="7">
        <f>"n. 协会，行会；同业公会"&amp;CHAR(10)&amp;"n. (Guild)人名；(英)吉尔德"</f>
        <v/>
      </c>
      <c r="E885" s="6" t="inlineStr">
        <is>
          <t>注意发音 注意拼写</t>
        </is>
      </c>
      <c r="G885" s="18">
        <f>HYPERLINK("D:\python\英语学习\voices\"&amp;B885&amp;"_1.mp3","BrE")</f>
        <v/>
      </c>
      <c r="H885" s="18">
        <f>HYPERLINK("D:\python\英语学习\voices\"&amp;B885&amp;"_2.mp3","AmE")</f>
        <v/>
      </c>
      <c r="I885" s="18">
        <f>HYPERLINK("http://dict.youdao.com/w/"&amp;B885,"有道")</f>
        <v/>
      </c>
    </row>
    <row r="886">
      <c r="B886" s="1" t="inlineStr">
        <is>
          <t>guilt</t>
        </is>
      </c>
      <c r="C886" s="7">
        <f>"n. 犯罪，过失；内疚"</f>
        <v/>
      </c>
      <c r="G886" s="18">
        <f>HYPERLINK("D:\python\英语学习\voices\"&amp;B886&amp;"_1.mp3","BrE")</f>
        <v/>
      </c>
      <c r="H886" s="18">
        <f>HYPERLINK("D:\python\英语学习\voices\"&amp;B886&amp;"_2.mp3","AmE")</f>
        <v/>
      </c>
      <c r="I886" s="18">
        <f>HYPERLINK("http://dict.youdao.com/w/"&amp;B886,"有道")</f>
        <v/>
      </c>
    </row>
    <row customHeight="1" ht="42.75" r="887">
      <c r="B887" s="1" t="inlineStr">
        <is>
          <t>gust</t>
        </is>
      </c>
      <c r="C887" s="7">
        <f>"n. 风味；一阵狂风；趣味"&amp;CHAR(10)&amp;"vi. 一阵阵地劲吹"&amp;CHAR(10)&amp;"n. (Gust)人名；(德、捷)古斯特"</f>
        <v/>
      </c>
      <c r="G887" s="18">
        <f>HYPERLINK("D:\python\英语学习\voices\"&amp;B887&amp;"_1.mp3","BrE")</f>
        <v/>
      </c>
      <c r="H887" s="18">
        <f>HYPERLINK("D:\python\英语学习\voices\"&amp;B887&amp;"_2.mp3","AmE")</f>
        <v/>
      </c>
      <c r="I887" s="18">
        <f>HYPERLINK("http://dict.youdao.com/w/"&amp;B887,"有道")</f>
        <v/>
      </c>
    </row>
    <row customHeight="1" ht="71.25" r="888">
      <c r="B888" s="1" t="inlineStr">
        <is>
          <t>hack</t>
        </is>
      </c>
      <c r="C888" s="7">
        <f>"vt. 砍，猛踢"&amp;CHAR(10)&amp;"vi. 砍，非法侵入（他人计算机系统）"&amp;CHAR(10)&amp;"n. 雇佣文人；杂务人员；砍"&amp;CHAR(10)&amp;"n. (Hack)人名；(英、西、芬、阿拉伯、毛里求)哈克；(法)阿克"</f>
        <v/>
      </c>
      <c r="G888" s="18">
        <f>HYPERLINK("D:\python\英语学习\voices\"&amp;B888&amp;"_1.mp3","BrE")</f>
        <v/>
      </c>
      <c r="H888" s="18">
        <f>HYPERLINK("D:\python\英语学习\voices\"&amp;B888&amp;"_2.mp3","AmE")</f>
        <v/>
      </c>
      <c r="I888" s="18">
        <f>HYPERLINK("http://dict.youdao.com/w/"&amp;B888,"有道")</f>
        <v/>
      </c>
    </row>
    <row customHeight="1" ht="99.75" r="889">
      <c r="B889" s="1" t="inlineStr">
        <is>
          <t>hail</t>
        </is>
      </c>
      <c r="C889" s="7">
        <f>"n. 冰雹；致敬；招呼；一阵"&amp;CHAR(10)&amp;"vt. 致敬；招呼；向...欢呼；猛发；使像下雹样落下（过去式hailed，过去分词hailed，现在分词hailing，第三人称单数hails）"&amp;CHAR(10)&amp;"vi. 招呼；下雹"&amp;CHAR(10)&amp;"int. 万岁；欢迎"&amp;CHAR(10)&amp;"n. (Hail)人名；(阿拉伯、捷)海尔"</f>
        <v/>
      </c>
      <c r="E889" s="6" t="inlineStr">
        <is>
          <t>好多意思 v.出生地是 hail from Italy？</t>
        </is>
      </c>
      <c r="G889" s="18">
        <f>HYPERLINK("D:\python\英语学习\voices\"&amp;B889&amp;"_1.mp3","BrE")</f>
        <v/>
      </c>
      <c r="H889" s="18">
        <f>HYPERLINK("D:\python\英语学习\voices\"&amp;B889&amp;"_2.mp3","AmE")</f>
        <v/>
      </c>
      <c r="I889" s="18">
        <f>HYPERLINK("http://dict.youdao.com/w/"&amp;B889,"有道")</f>
        <v/>
      </c>
    </row>
    <row customHeight="1" ht="57" r="890">
      <c r="B890" s="1" t="inlineStr">
        <is>
          <t>halt</t>
        </is>
      </c>
      <c r="C890" s="7">
        <f>"vi. 停止；立定；踌躇，犹豫"&amp;CHAR(10)&amp;"n. 停止；立定；休息"&amp;CHAR(10)&amp;"vt. 使停止；使立定"&amp;CHAR(10)&amp;"n. (Halt)人名；(德、芬)哈尔特"</f>
        <v/>
      </c>
      <c r="G890" s="18">
        <f>HYPERLINK("D:\python\英语学习\voices\"&amp;B890&amp;"_1.mp3","BrE")</f>
        <v/>
      </c>
      <c r="H890" s="18">
        <f>HYPERLINK("D:\python\英语学习\voices\"&amp;B890&amp;"_2.mp3","AmE")</f>
        <v/>
      </c>
      <c r="I890" s="18">
        <f>HYPERLINK("http://dict.youdao.com/w/"&amp;B890,"有道")</f>
        <v/>
      </c>
    </row>
    <row customHeight="1" ht="28.5" r="891">
      <c r="B891" s="1" t="inlineStr">
        <is>
          <t>hamper</t>
        </is>
      </c>
      <c r="C891" s="7">
        <f>"vt. 妨碍；束缚；使困累"&amp;CHAR(10)&amp;"n. 食盒，食篮；阻碍物"</f>
        <v/>
      </c>
      <c r="F891" s="14">
        <f>"Some have expressed concern that the unusual nature of this election might hamper the next president in the conduct of his office."</f>
        <v/>
      </c>
      <c r="G891" s="18">
        <f>HYPERLINK("D:\python\英语学习\voices\"&amp;B891&amp;"_1.mp3","BrE")</f>
        <v/>
      </c>
      <c r="H891" s="18">
        <f>HYPERLINK("D:\python\英语学习\voices\"&amp;B891&amp;"_2.mp3","AmE")</f>
        <v/>
      </c>
      <c r="I891" s="18">
        <f>HYPERLINK("http://dict.youdao.com/w/"&amp;B891,"有道")</f>
        <v/>
      </c>
    </row>
    <row r="892">
      <c r="B892" s="1" t="inlineStr">
        <is>
          <t>hamster</t>
        </is>
      </c>
      <c r="C892" s="7">
        <f>"n. 仓鼠；仓鼠毛皮"</f>
        <v/>
      </c>
      <c r="G892" s="18">
        <f>HYPERLINK("D:\python\英语学习\voices\"&amp;B892&amp;"_1.mp3","BrE")</f>
        <v/>
      </c>
      <c r="H892" s="18">
        <f>HYPERLINK("D:\python\英语学习\voices\"&amp;B892&amp;"_2.mp3","AmE")</f>
        <v/>
      </c>
      <c r="I892" s="18">
        <f>HYPERLINK("http://dict.youdao.com/w/"&amp;B892,"有道")</f>
        <v/>
      </c>
    </row>
    <row customHeight="1" ht="42.75" r="893">
      <c r="A893" s="1" t="inlineStr">
        <is>
          <t>unnecessary</t>
        </is>
      </c>
      <c r="B893" s="1" t="inlineStr">
        <is>
          <t>handout</t>
        </is>
      </c>
      <c r="C893" s="7">
        <f>"n. 散发材料（免费发给的新闻通报）；上课老师发的印刷品；文字资料 	（会议上分发的）；施舍物"</f>
        <v/>
      </c>
      <c r="G893" s="18">
        <f>HYPERLINK("D:\python\英语学习\voices\"&amp;B893&amp;"_1.mp3","BrE")</f>
        <v/>
      </c>
      <c r="H893" s="18">
        <f>HYPERLINK("D:\python\英语学习\voices\"&amp;B893&amp;"_2.mp3","AmE")</f>
        <v/>
      </c>
      <c r="I893" s="18">
        <f>HYPERLINK("http://dict.youdao.com/w/"&amp;B893,"有道")</f>
        <v/>
      </c>
    </row>
    <row customHeight="1" ht="42.75" r="894">
      <c r="B894" s="1" t="inlineStr">
        <is>
          <t>handy</t>
        </is>
      </c>
      <c r="C894" s="7">
        <f>"adj. 便利的；手边的，就近的；容易取得的；敏捷的"&amp;CHAR(10)&amp;"n. (Handy)人名；(英)汉迪"</f>
        <v/>
      </c>
      <c r="E894" s="6" t="inlineStr">
        <is>
          <t>comes in handy派上用场</t>
        </is>
      </c>
      <c r="G894" s="18">
        <f>HYPERLINK("D:\python\英语学习\voices\"&amp;B894&amp;"_1.mp3","BrE")</f>
        <v/>
      </c>
      <c r="H894" s="18">
        <f>HYPERLINK("D:\python\英语学习\voices\"&amp;B894&amp;"_2.mp3","AmE")</f>
        <v/>
      </c>
      <c r="I894" s="18">
        <f>HYPERLINK("http://dict.youdao.com/w/"&amp;B894,"有道")</f>
        <v/>
      </c>
    </row>
    <row customHeight="1" ht="57" r="895">
      <c r="B895" s="1" t="inlineStr">
        <is>
          <t>harbour</t>
        </is>
      </c>
      <c r="C895" s="7">
        <f>"vi. 藏匿；入港停泊；庇护"&amp;CHAR(10)&amp;"vt. 庇护；藏匿；入港停泊"&amp;CHAR(10)&amp;"n. 海港（等于harbor）；避难所"&amp;CHAR(10)&amp;"n. (Harbour)人名；(英)哈伯"</f>
        <v/>
      </c>
      <c r="E895" s="6" t="inlineStr">
        <is>
          <t>海港 象征意义</t>
        </is>
      </c>
      <c r="G895" s="18">
        <f>HYPERLINK("D:\python\英语学习\voices\"&amp;B895&amp;"_1.mp3","BrE")</f>
        <v/>
      </c>
      <c r="H895" s="18">
        <f>HYPERLINK("D:\python\英语学习\voices\"&amp;B895&amp;"_2.mp3","AmE")</f>
        <v/>
      </c>
      <c r="I895" s="18">
        <f>HYPERLINK("http://dict.youdao.com/w/"&amp;B895,"有道")</f>
        <v/>
      </c>
    </row>
    <row customHeight="1" ht="28.5" r="896">
      <c r="B896" s="1" t="inlineStr">
        <is>
          <t>hardy</t>
        </is>
      </c>
      <c r="C896" s="7">
        <f>"adj. 坚强的；勇敢的；能吃苦耐劳的；鲁莽的"&amp;CHAR(10)&amp;"n. 强壮的人；耐寒植物；方柄凿"</f>
        <v/>
      </c>
      <c r="G896" s="18">
        <f>HYPERLINK("D:\python\英语学习\voices\"&amp;B896&amp;"_1.mp3","BrE")</f>
        <v/>
      </c>
      <c r="H896" s="18">
        <f>HYPERLINK("D:\python\英语学习\voices\"&amp;B896&amp;"_2.mp3","AmE")</f>
        <v/>
      </c>
      <c r="I896" s="18">
        <f>HYPERLINK("http://dict.youdao.com/w/"&amp;B896,"有道")</f>
        <v/>
      </c>
    </row>
    <row r="897">
      <c r="B897" s="1" t="inlineStr">
        <is>
          <t>harmonious</t>
        </is>
      </c>
      <c r="C897" s="7">
        <f>"adj. 和谐的，和睦的；协调的；悦耳的"</f>
        <v/>
      </c>
      <c r="G897" s="18">
        <f>HYPERLINK("D:\python\英语学习\voices\"&amp;B897&amp;"_1.mp3","BrE")</f>
        <v/>
      </c>
      <c r="H897" s="18">
        <f>HYPERLINK("D:\python\英语学习\voices\"&amp;B897&amp;"_2.mp3","AmE")</f>
        <v/>
      </c>
      <c r="I897" s="18">
        <f>HYPERLINK("http://dict.youdao.com/w/"&amp;B897,"有道")</f>
        <v/>
      </c>
    </row>
    <row customHeight="1" ht="42.75" r="898">
      <c r="B898" s="1" t="inlineStr">
        <is>
          <t>harness</t>
        </is>
      </c>
      <c r="C898" s="7">
        <f>"vt. 治理；套；驾驭；披上甲胄；利用"&amp;CHAR(10)&amp;"n. 马具；甲胄；挽具状带子；降落伞背带；日常工作"</f>
        <v/>
      </c>
      <c r="G898" s="18">
        <f>HYPERLINK("D:\python\英语学习\voices\"&amp;B898&amp;"_1.mp3","BrE")</f>
        <v/>
      </c>
      <c r="H898" s="18">
        <f>HYPERLINK("D:\python\英语学习\voices\"&amp;B898&amp;"_2.mp3","AmE")</f>
        <v/>
      </c>
      <c r="I898" s="18">
        <f>HYPERLINK("http://dict.youdao.com/w/"&amp;B898,"有道")</f>
        <v/>
      </c>
    </row>
    <row customHeight="1" ht="42.75" r="899">
      <c r="B899" s="1" t="inlineStr">
        <is>
          <t>harp</t>
        </is>
      </c>
      <c r="C899" s="7">
        <f>"vi. 弹奏竖琴；喋喋不休；不停地说"&amp;CHAR(10)&amp;"n. 竖琴"&amp;CHAR(10)&amp;"n. (Harp)人名；(英)哈普"</f>
        <v/>
      </c>
      <c r="G899" s="18">
        <f>HYPERLINK("D:\python\英语学习\voices\"&amp;B899&amp;"_1.mp3","BrE")</f>
        <v/>
      </c>
      <c r="H899" s="18">
        <f>HYPERLINK("D:\python\英语学习\voices\"&amp;B899&amp;"_2.mp3","AmE")</f>
        <v/>
      </c>
      <c r="I899" s="18">
        <f>HYPERLINK("http://dict.youdao.com/w/"&amp;B899,"有道")</f>
        <v/>
      </c>
    </row>
    <row customHeight="1" ht="42.75" r="900">
      <c r="B900" s="1" t="inlineStr">
        <is>
          <t>harsh</t>
        </is>
      </c>
      <c r="C900" s="7">
        <f>"adj. 严厉的；严酷的；刺耳的；粗糙的；刺目的"&amp;CHAR(10)&amp;"n. (Harsh)人名；(英)哈什"</f>
        <v/>
      </c>
      <c r="G900" s="18">
        <f>HYPERLINK("D:\python\英语学习\voices\"&amp;B900&amp;"_1.mp3","BrE")</f>
        <v/>
      </c>
      <c r="H900" s="18">
        <f>HYPERLINK("D:\python\英语学习\voices\"&amp;B900&amp;"_2.mp3","AmE")</f>
        <v/>
      </c>
      <c r="I900" s="18">
        <f>HYPERLINK("http://dict.youdao.com/w/"&amp;B900,"有道")</f>
        <v/>
      </c>
    </row>
    <row customHeight="1" ht="57" r="901">
      <c r="B901" s="1" t="inlineStr">
        <is>
          <t>hassle</t>
        </is>
      </c>
      <c r="C901" s="7">
        <f>"vt. 找麻烦，搅扰；与…争辩；使…烦恼"&amp;CHAR(10)&amp;"n. 困难，麻烦；激战"&amp;CHAR(10)&amp;"vi. 争论，争辩"&amp;CHAR(10)&amp;"n. (Hassle)人名；(瑞典)哈斯勒"</f>
        <v/>
      </c>
      <c r="G901" s="18">
        <f>HYPERLINK("D:\python\英语学习\voices\"&amp;B901&amp;"_1.mp3","BrE")</f>
        <v/>
      </c>
      <c r="H901" s="18">
        <f>HYPERLINK("D:\python\英语学习\voices\"&amp;B901&amp;"_2.mp3","AmE")</f>
        <v/>
      </c>
      <c r="I901" s="18">
        <f>HYPERLINK("http://dict.youdao.com/w/"&amp;B901,"有道")</f>
        <v/>
      </c>
    </row>
    <row customHeight="1" ht="57" r="902">
      <c r="B902" s="1" t="inlineStr">
        <is>
          <t>haste</t>
        </is>
      </c>
      <c r="C902" s="7">
        <f>"n. 匆忙；急忙；轻率"&amp;CHAR(10)&amp;"vi. 匆忙；赶紧"&amp;CHAR(10)&amp;"vt. 赶快"&amp;CHAR(10)&amp;"n. (Haste)人名；(英)黑斯特；(法)阿斯特"</f>
        <v/>
      </c>
      <c r="G902" s="18">
        <f>HYPERLINK("D:\python\英语学习\voices\"&amp;B902&amp;"_1.mp3","BrE")</f>
        <v/>
      </c>
      <c r="H902" s="18">
        <f>HYPERLINK("D:\python\英语学习\voices\"&amp;B902&amp;"_2.mp3","AmE")</f>
        <v/>
      </c>
      <c r="I902" s="18">
        <f>HYPERLINK("http://dict.youdao.com/w/"&amp;B902,"有道")</f>
        <v/>
      </c>
    </row>
    <row customHeight="1" ht="28.5" r="903">
      <c r="B903" s="1" t="inlineStr">
        <is>
          <t>hasten</t>
        </is>
      </c>
      <c r="C903" s="7">
        <f>"vt. 加速；使赶紧；催促"&amp;CHAR(10)&amp;"vi. 赶快；急忙"</f>
        <v/>
      </c>
      <c r="G903" s="18">
        <f>HYPERLINK("D:\python\英语学习\voices\"&amp;B903&amp;"_1.mp3","BrE")</f>
        <v/>
      </c>
      <c r="H903" s="18">
        <f>HYPERLINK("D:\python\英语学习\voices\"&amp;B903&amp;"_2.mp3","AmE")</f>
        <v/>
      </c>
      <c r="I903" s="18">
        <f>HYPERLINK("http://dict.youdao.com/w/"&amp;B903,"有道")</f>
        <v/>
      </c>
    </row>
    <row customHeight="1" ht="28.5" r="904">
      <c r="B904" s="1" t="inlineStr">
        <is>
          <t>hasty</t>
        </is>
      </c>
      <c r="C904" s="7">
        <f>"adj. 轻率的；匆忙的；草率的；懈怠的"&amp;CHAR(10)&amp;"n. (Hasty)人名；(英)黑斯蒂"</f>
        <v/>
      </c>
      <c r="G904" s="18">
        <f>HYPERLINK("D:\python\英语学习\voices\"&amp;B904&amp;"_1.mp3","BrE")</f>
        <v/>
      </c>
      <c r="H904" s="18">
        <f>HYPERLINK("D:\python\英语学习\voices\"&amp;B904&amp;"_2.mp3","AmE")</f>
        <v/>
      </c>
      <c r="I904" s="18">
        <f>HYPERLINK("http://dict.youdao.com/w/"&amp;B904,"有道")</f>
        <v/>
      </c>
    </row>
    <row customHeight="1" ht="57" r="905">
      <c r="B905" s="1" t="inlineStr">
        <is>
          <t>hatch</t>
        </is>
      </c>
      <c r="C905" s="7">
        <f>"n. 孵化；舱口"&amp;CHAR(10)&amp;"vt. 孵；策划"&amp;CHAR(10)&amp;"vi. 孵化"&amp;CHAR(10)&amp;"n. (Hatch)人名；(西)阿奇；(英)哈奇"</f>
        <v/>
      </c>
      <c r="G905" s="18">
        <f>HYPERLINK("D:\python\英语学习\voices\"&amp;B905&amp;"_1.mp3","BrE")</f>
        <v/>
      </c>
      <c r="H905" s="18">
        <f>HYPERLINK("D:\python\英语学习\voices\"&amp;B905&amp;"_2.mp3","AmE")</f>
        <v/>
      </c>
      <c r="I905" s="18">
        <f>HYPERLINK("http://dict.youdao.com/w/"&amp;B905,"有道")</f>
        <v/>
      </c>
    </row>
    <row r="906">
      <c r="B906" s="1" t="inlineStr">
        <is>
          <t>hatred</t>
        </is>
      </c>
      <c r="C906" s="7">
        <f>"n. 憎恨；怨恨；敌意"</f>
        <v/>
      </c>
      <c r="G906" s="18">
        <f>HYPERLINK("D:\python\英语学习\voices\"&amp;B906&amp;"_1.mp3","BrE")</f>
        <v/>
      </c>
      <c r="H906" s="18">
        <f>HYPERLINK("D:\python\英语学习\voices\"&amp;B906&amp;"_2.mp3","AmE")</f>
        <v/>
      </c>
      <c r="I906" s="18">
        <f>HYPERLINK("http://dict.youdao.com/w/"&amp;B906,"有道")</f>
        <v/>
      </c>
    </row>
    <row r="907">
      <c r="A907" t="inlineStr">
        <is>
          <t>important</t>
        </is>
      </c>
      <c r="B907" s="1" t="inlineStr">
        <is>
          <t>remarkably</t>
        </is>
      </c>
      <c r="C907" s="17">
        <f>"adv. 显著地，非常地，惊人地；引人注目地"</f>
        <v/>
      </c>
      <c r="E907" s="16" t="inlineStr">
        <is>
          <t>注意拼写</t>
        </is>
      </c>
      <c r="G907" s="18">
        <f>HYPERLINK("D:\python\英语学习\voices\"&amp;B907&amp;"_1.mp3","BrE")</f>
        <v/>
      </c>
      <c r="H907" s="18">
        <f>HYPERLINK("D:\python\英语学习\voices\"&amp;B907&amp;"_2.mp3","AmE")</f>
        <v/>
      </c>
      <c r="I907" s="18">
        <f>HYPERLINK("http://dict.youdao.com/w/"&amp;B907,"有道")</f>
        <v/>
      </c>
    </row>
    <row customHeight="1" ht="71.25" r="908">
      <c r="A908" t="inlineStr">
        <is>
          <t>important</t>
        </is>
      </c>
      <c r="B908" s="1" t="inlineStr">
        <is>
          <t>perplex</t>
        </is>
      </c>
      <c r="C908" s="17">
        <f>"vt. 使困惑，使为难；使复杂化"</f>
        <v/>
      </c>
      <c r="G908" s="18">
        <f>HYPERLINK("D:\python\英语学习\voices\"&amp;B908&amp;"_1.mp3","BrE")</f>
        <v/>
      </c>
      <c r="H908" s="18">
        <f>HYPERLINK("D:\python\英语学习\voices\"&amp;B908&amp;"_2.mp3","AmE")</f>
        <v/>
      </c>
      <c r="I908" s="18">
        <f>HYPERLINK("http://dict.youdao.com/w/"&amp;B908,"有道")</f>
        <v/>
      </c>
    </row>
    <row customHeight="1" ht="42.75" r="909">
      <c r="B909" s="1" t="inlineStr">
        <is>
          <t>haunt</t>
        </is>
      </c>
      <c r="C909" s="7">
        <f>"vt. 常出没于…；萦绕于…；经常去…"&amp;CHAR(10)&amp;"vi. 出没；作祟"&amp;CHAR(10)&amp;"n. 栖息地；常去的地方"</f>
        <v/>
      </c>
      <c r="G909" s="18">
        <f>HYPERLINK("D:\python\英语学习\voices\"&amp;B909&amp;"_1.mp3","BrE")</f>
        <v/>
      </c>
      <c r="H909" s="18">
        <f>HYPERLINK("D:\python\英语学习\voices\"&amp;B909&amp;"_2.mp3","AmE")</f>
        <v/>
      </c>
      <c r="I909" s="18">
        <f>HYPERLINK("http://dict.youdao.com/w/"&amp;B909,"有道")</f>
        <v/>
      </c>
    </row>
    <row customHeight="1" ht="57" r="910">
      <c r="B910" s="1" t="inlineStr">
        <is>
          <t>hawk</t>
        </is>
      </c>
      <c r="C910" s="7">
        <f>"vt. 兜售，沿街叫卖；捕捉；咳出"&amp;CHAR(10)&amp;"vi. 清嗓；咳嗽；像鹰一般地袭击"&amp;CHAR(10)&amp;"n. 鹰；鹰派成员；掠夺他人的人"&amp;CHAR(10)&amp;"n. (Hawk)人名；(英)霍克；(西)奥克"</f>
        <v/>
      </c>
      <c r="G910" s="18">
        <f>HYPERLINK("D:\python\英语学习\voices\"&amp;B910&amp;"_1.mp3","BrE")</f>
        <v/>
      </c>
      <c r="H910" s="18">
        <f>HYPERLINK("D:\python\英语学习\voices\"&amp;B910&amp;"_2.mp3","AmE")</f>
        <v/>
      </c>
      <c r="I910" s="18">
        <f>HYPERLINK("http://dict.youdao.com/w/"&amp;B910,"有道")</f>
        <v/>
      </c>
    </row>
    <row customHeight="1" ht="42.75" r="911">
      <c r="B911" s="1" t="inlineStr">
        <is>
          <t>hazard</t>
        </is>
      </c>
      <c r="C911" s="7">
        <f>"vt. 赌运气；冒…的危险，使遭受危险"&amp;CHAR(10)&amp;"n. 危险，冒险；冒险的事"&amp;CHAR(10)&amp;"n. (Hazard)人名；(法)阿扎尔；(英)哈泽德"</f>
        <v/>
      </c>
      <c r="G911" s="18">
        <f>HYPERLINK("D:\python\英语学习\voices\"&amp;B911&amp;"_1.mp3","BrE")</f>
        <v/>
      </c>
      <c r="H911" s="18">
        <f>HYPERLINK("D:\python\英语学习\voices\"&amp;B911&amp;"_2.mp3","AmE")</f>
        <v/>
      </c>
      <c r="I911" s="18">
        <f>HYPERLINK("http://dict.youdao.com/w/"&amp;B911,"有道")</f>
        <v/>
      </c>
    </row>
    <row customHeight="1" ht="42.75" r="912">
      <c r="A912" s="1" t="inlineStr">
        <is>
          <t>unnecessary</t>
        </is>
      </c>
      <c r="B912" s="1" t="inlineStr">
        <is>
          <t>heading</t>
        </is>
      </c>
      <c r="C912" s="7">
        <f>"n. 标题；（足球）头球；信头"&amp;CHAR(10)&amp;"v. 用头顶（head的ing形式）"&amp;CHAR(10)&amp;"n. (Heading)人名；(英)黑丁"</f>
        <v/>
      </c>
      <c r="G912" s="18">
        <f>HYPERLINK("D:\python\英语学习\voices\"&amp;B912&amp;"_1.mp3","BrE")</f>
        <v/>
      </c>
      <c r="H912" s="18">
        <f>HYPERLINK("D:\python\英语学习\voices\"&amp;B912&amp;"_2.mp3","AmE")</f>
        <v/>
      </c>
      <c r="I912" s="18">
        <f>HYPERLINK("http://dict.youdao.com/w/"&amp;B912,"有道")</f>
        <v/>
      </c>
    </row>
    <row customHeight="1" ht="28.5" r="913">
      <c r="B913" s="1" t="inlineStr">
        <is>
          <t>headlong</t>
        </is>
      </c>
      <c r="C913" s="7">
        <f>"adj. 轻率的；头向前的；匆促而用力的"&amp;CHAR(10)&amp;"adv. 头向前地；猛然用力地"</f>
        <v/>
      </c>
      <c r="G913" s="18">
        <f>HYPERLINK("D:\python\英语学习\voices\"&amp;B913&amp;"_1.mp3","BrE")</f>
        <v/>
      </c>
      <c r="H913" s="18">
        <f>HYPERLINK("D:\python\英语学习\voices\"&amp;B913&amp;"_2.mp3","AmE")</f>
        <v/>
      </c>
      <c r="I913" s="18">
        <f>HYPERLINK("http://dict.youdao.com/w/"&amp;B913,"有道")</f>
        <v/>
      </c>
    </row>
    <row customHeight="1" ht="28.5" r="914">
      <c r="B914" s="1" t="inlineStr">
        <is>
          <t>hearth</t>
        </is>
      </c>
      <c r="C914" s="7">
        <f>"n. 灶台；炉边；炉床；壁炉地面"&amp;CHAR(10)&amp;"n. (Hearth)人名；(英)哈思"</f>
        <v/>
      </c>
      <c r="G914" s="18">
        <f>HYPERLINK("D:\python\英语学习\voices\"&amp;B914&amp;"_1.mp3","BrE")</f>
        <v/>
      </c>
      <c r="H914" s="18">
        <f>HYPERLINK("D:\python\英语学习\voices\"&amp;B914&amp;"_2.mp3","AmE")</f>
        <v/>
      </c>
      <c r="I914" s="18">
        <f>HYPERLINK("http://dict.youdao.com/w/"&amp;B914,"有道")</f>
        <v/>
      </c>
    </row>
    <row customHeight="1" ht="57" r="915">
      <c r="B915" s="1" t="inlineStr">
        <is>
          <t>heave</t>
        </is>
      </c>
      <c r="C915" s="7">
        <f>"vt. 举起；使起伏；投掷；恶心；发出（叹息等）"&amp;CHAR(10)&amp;"vi. 起伏；举起；喘息；呕吐"&amp;CHAR(10)&amp;"n. 举起；起伏；投掷；一阵呕吐"</f>
        <v/>
      </c>
      <c r="G915" s="18">
        <f>HYPERLINK("D:\python\英语学习\voices\"&amp;B915&amp;"_1.mp3","BrE")</f>
        <v/>
      </c>
      <c r="H915" s="18">
        <f>HYPERLINK("D:\python\英语学习\voices\"&amp;B915&amp;"_2.mp3","AmE")</f>
        <v/>
      </c>
      <c r="I915" s="18">
        <f>HYPERLINK("http://dict.youdao.com/w/"&amp;B915,"有道")</f>
        <v/>
      </c>
    </row>
    <row customHeight="1" ht="42.75" r="916">
      <c r="B916" s="1" t="inlineStr">
        <is>
          <t>hedge</t>
        </is>
      </c>
      <c r="C916" s="7">
        <f>"v. 用树篱笆围住；避免作正面答复"&amp;CHAR(10)&amp;"n. 对冲，套期保值；树篱；障碍"&amp;CHAR(10)&amp;"n. (Hedge)人名；(英)赫奇"</f>
        <v/>
      </c>
      <c r="G916" s="18">
        <f>HYPERLINK("D:\python\英语学习\voices\"&amp;B916&amp;"_1.mp3","BrE")</f>
        <v/>
      </c>
      <c r="H916" s="18">
        <f>HYPERLINK("D:\python\英语学习\voices\"&amp;B916&amp;"_2.mp3","AmE")</f>
        <v/>
      </c>
      <c r="I916" s="18">
        <f>HYPERLINK("http://dict.youdao.com/w/"&amp;B916,"有道")</f>
        <v/>
      </c>
    </row>
    <row r="917">
      <c r="A917" t="inlineStr">
        <is>
          <t>unnecessary</t>
        </is>
      </c>
      <c r="B917" s="1" t="inlineStr">
        <is>
          <t>hemisphere</t>
        </is>
      </c>
      <c r="C917" s="7">
        <f>"n. 半球"</f>
        <v/>
      </c>
      <c r="E917" t="inlineStr">
        <is>
          <t>semisphere半个球体，hemisphere特指地球的半球</t>
        </is>
      </c>
      <c r="G917" s="18">
        <f>HYPERLINK("D:\python\英语学习\voices\"&amp;B917&amp;"_1.mp3","BrE")</f>
        <v/>
      </c>
      <c r="H917" s="18">
        <f>HYPERLINK("D:\python\英语学习\voices\"&amp;B917&amp;"_2.mp3","AmE")</f>
        <v/>
      </c>
      <c r="I917" s="18">
        <f>HYPERLINK("http://dict.youdao.com/w/"&amp;B917,"有道")</f>
        <v/>
      </c>
    </row>
    <row r="918">
      <c r="B918" s="1" t="inlineStr">
        <is>
          <t>henceforth</t>
        </is>
      </c>
      <c r="C918" s="7">
        <f>"adv. 今后；自此以后"</f>
        <v/>
      </c>
      <c r="G918" s="18">
        <f>HYPERLINK("D:\python\英语学习\voices\"&amp;B918&amp;"_1.mp3","BrE")</f>
        <v/>
      </c>
      <c r="H918" s="18">
        <f>HYPERLINK("D:\python\英语学习\voices\"&amp;B918&amp;"_2.mp3","AmE")</f>
        <v/>
      </c>
      <c r="I918" s="18">
        <f>HYPERLINK("http://dict.youdao.com/w/"&amp;B918,"有道")</f>
        <v/>
      </c>
    </row>
    <row customHeight="1" ht="42.75" r="919">
      <c r="B919" s="1" t="inlineStr">
        <is>
          <t>herald</t>
        </is>
      </c>
      <c r="C919" s="7">
        <f>"n. 预兆，征兆；先驱；传令官；报信者"&amp;CHAR(10)&amp;"vt. 通报；预示…的来临"&amp;CHAR(10)&amp;"n. (Herald)人名；(匈)海劳尔德；(英)赫勒尔德"</f>
        <v/>
      </c>
      <c r="G919" s="18">
        <f>HYPERLINK("D:\python\英语学习\voices\"&amp;B919&amp;"_1.mp3","BrE")</f>
        <v/>
      </c>
      <c r="H919" s="18">
        <f>HYPERLINK("D:\python\英语学习\voices\"&amp;B919&amp;"_2.mp3","AmE")</f>
        <v/>
      </c>
      <c r="I919" s="18">
        <f>HYPERLINK("http://dict.youdao.com/w/"&amp;B919,"有道")</f>
        <v/>
      </c>
    </row>
    <row customHeight="1" ht="42.75" r="920">
      <c r="B920" s="1" t="inlineStr">
        <is>
          <t>heroics</t>
        </is>
      </c>
      <c r="C920" s="7">
        <f>"adj. 英雄的"&amp;CHAR(10)&amp;"n. 英雄事迹；夸张的言行；装腔作势的豪言壮语"</f>
        <v/>
      </c>
      <c r="G920" s="18">
        <f>HYPERLINK("D:\python\英语学习\voices\"&amp;B920&amp;"_1.mp3","BrE")</f>
        <v/>
      </c>
      <c r="H920" s="18">
        <f>HYPERLINK("D:\python\英语学习\voices\"&amp;B920&amp;"_2.mp3","AmE")</f>
        <v/>
      </c>
      <c r="I920" s="18">
        <f>HYPERLINK("http://dict.youdao.com/w/"&amp;B920,"有道")</f>
        <v/>
      </c>
    </row>
    <row r="921">
      <c r="B921" s="1" t="inlineStr">
        <is>
          <t>hierarchical</t>
        </is>
      </c>
      <c r="C921" s="7">
        <f>"adj. 分层的；等级体系的"</f>
        <v/>
      </c>
      <c r="G921" s="18">
        <f>HYPERLINK("D:\python\英语学习\voices\"&amp;B921&amp;"_1.mp3","BrE")</f>
        <v/>
      </c>
      <c r="H921" s="18">
        <f>HYPERLINK("D:\python\英语学习\voices\"&amp;B921&amp;"_2.mp3","AmE")</f>
        <v/>
      </c>
      <c r="I921" s="18">
        <f>HYPERLINK("http://dict.youdao.com/w/"&amp;B921,"有道")</f>
        <v/>
      </c>
    </row>
    <row customHeight="1" ht="42.75" r="922">
      <c r="B922" s="1" t="inlineStr">
        <is>
          <t>hijack</t>
        </is>
      </c>
      <c r="C922" s="7">
        <f>"vt. 抢劫；揩油"&amp;CHAR(10)&amp;"vi. 拦路抢劫"&amp;CHAR(10)&amp;"n. 劫持；威逼；敲诈"</f>
        <v/>
      </c>
      <c r="G922" s="18">
        <f>HYPERLINK("D:\python\英语学习\voices\"&amp;B922&amp;"_1.mp3","BrE")</f>
        <v/>
      </c>
      <c r="H922" s="18">
        <f>HYPERLINK("D:\python\英语学习\voices\"&amp;B922&amp;"_2.mp3","AmE")</f>
        <v/>
      </c>
      <c r="I922" s="18">
        <f>HYPERLINK("http://dict.youdao.com/w/"&amp;B922,"有道")</f>
        <v/>
      </c>
    </row>
    <row customHeight="1" ht="42.75" r="923">
      <c r="B923" s="1" t="inlineStr">
        <is>
          <t>hike</t>
        </is>
      </c>
      <c r="C923" s="7">
        <f>"vi. 远足；徒步旅行；上升"&amp;CHAR(10)&amp;"vt. 提高；拉起；使…高涨"&amp;CHAR(10)&amp;"n. 远足；徒步旅行；涨价"</f>
        <v/>
      </c>
      <c r="G923" s="18">
        <f>HYPERLINK("D:\python\英语学习\voices\"&amp;B923&amp;"_1.mp3","BrE")</f>
        <v/>
      </c>
      <c r="H923" s="18">
        <f>HYPERLINK("D:\python\英语学习\voices\"&amp;B923&amp;"_2.mp3","AmE")</f>
        <v/>
      </c>
      <c r="I923" s="18">
        <f>HYPERLINK("http://dict.youdao.com/w/"&amp;B923,"有道")</f>
        <v/>
      </c>
    </row>
    <row r="924">
      <c r="B924" s="1" t="inlineStr">
        <is>
          <t>hilarious</t>
        </is>
      </c>
      <c r="C924" s="7">
        <f>"adj. 欢闹的；非常滑稽的；喜不自禁的"</f>
        <v/>
      </c>
      <c r="G924" s="18">
        <f>HYPERLINK("D:\python\英语学习\voices\"&amp;B924&amp;"_1.mp3","BrE")</f>
        <v/>
      </c>
      <c r="H924" s="18">
        <f>HYPERLINK("D:\python\英语学习\voices\"&amp;B924&amp;"_2.mp3","AmE")</f>
        <v/>
      </c>
      <c r="I924" s="18">
        <f>HYPERLINK("http://dict.youdao.com/w/"&amp;B924,"有道")</f>
        <v/>
      </c>
    </row>
    <row customHeight="1" ht="57" r="925">
      <c r="B925" s="1" t="inlineStr">
        <is>
          <t>hinder</t>
        </is>
      </c>
      <c r="C925" s="7">
        <f>"vi. 成为阻碍"&amp;CHAR(10)&amp;"vt. 阻碍；打扰"&amp;CHAR(10)&amp;"adj. 后面的"&amp;CHAR(10)&amp;"n. (Hinder)人名；(芬)欣德"</f>
        <v/>
      </c>
      <c r="G925" s="18">
        <f>HYPERLINK("D:\python\英语学习\voices\"&amp;B925&amp;"_1.mp3","BrE")</f>
        <v/>
      </c>
      <c r="H925" s="18">
        <f>HYPERLINK("D:\python\英语学习\voices\"&amp;B925&amp;"_2.mp3","AmE")</f>
        <v/>
      </c>
      <c r="I925" s="18">
        <f>HYPERLINK("http://dict.youdao.com/w/"&amp;B925,"有道")</f>
        <v/>
      </c>
    </row>
    <row r="926">
      <c r="B926" s="1" t="inlineStr">
        <is>
          <t>hindrance</t>
        </is>
      </c>
      <c r="C926" s="7">
        <f>"n. 障碍；妨碍；妨害；阻碍物"</f>
        <v/>
      </c>
      <c r="E926" s="6" t="inlineStr">
        <is>
          <t>注意拼写--词根hinder但这个词无der</t>
        </is>
      </c>
      <c r="G926" s="18">
        <f>HYPERLINK("D:\python\英语学习\voices\"&amp;B926&amp;"_1.mp3","BrE")</f>
        <v/>
      </c>
      <c r="H926" s="18">
        <f>HYPERLINK("D:\python\英语学习\voices\"&amp;B926&amp;"_2.mp3","AmE")</f>
        <v/>
      </c>
      <c r="I926" s="18">
        <f>HYPERLINK("http://dict.youdao.com/w/"&amp;B926,"有道")</f>
        <v/>
      </c>
    </row>
    <row customHeight="1" ht="42.75" r="927">
      <c r="B927" s="1" t="inlineStr">
        <is>
          <t>hip</t>
        </is>
      </c>
      <c r="C927" s="7">
        <f>"n. 臀部；蔷薇果；忧郁"&amp;CHAR(10)&amp;"adj. 熟悉内情的；非常时尚的"&amp;CHAR(10)&amp;"n. (Hip)人名；(塞)希普；(中)协(广东话·威妥玛)"</f>
        <v/>
      </c>
      <c r="G927" s="18">
        <f>HYPERLINK("D:\python\英语学习\voices\"&amp;B927&amp;"_1.mp3","BrE")</f>
        <v/>
      </c>
      <c r="H927" s="18">
        <f>HYPERLINK("D:\python\英语学习\voices\"&amp;B927&amp;"_2.mp3","AmE")</f>
        <v/>
      </c>
      <c r="I927" s="18">
        <f>HYPERLINK("http://dict.youdao.com/w/"&amp;B927,"有道")</f>
        <v/>
      </c>
    </row>
    <row customHeight="1" ht="71.25" r="928">
      <c r="B928" s="1" t="inlineStr">
        <is>
          <t>hitch</t>
        </is>
      </c>
      <c r="C928" s="7">
        <f>"n. 故障；钩；猛拉；急推；蹒跚"&amp;CHAR(10)&amp;"vt. 搭便车；钩住；套住；猛拉；使结婚"&amp;CHAR(10)&amp;"vi. 被钩住；急动；蹒跚；搭便车旅行；结婚"&amp;CHAR(10)&amp;"n. (Hitch)人名；(英)希契(男子教名 Richard 的昵称)"</f>
        <v/>
      </c>
      <c r="G928" s="18">
        <f>HYPERLINK("D:\python\英语学习\voices\"&amp;B928&amp;"_1.mp3","BrE")</f>
        <v/>
      </c>
      <c r="H928" s="18">
        <f>HYPERLINK("D:\python\英语学习\voices\"&amp;B928&amp;"_2.mp3","AmE")</f>
        <v/>
      </c>
      <c r="I928" s="18">
        <f>HYPERLINK("http://dict.youdao.com/w/"&amp;B928,"有道")</f>
        <v/>
      </c>
    </row>
    <row customHeight="1" ht="28.5" r="929">
      <c r="B929" s="1" t="inlineStr">
        <is>
          <t>hoarse</t>
        </is>
      </c>
      <c r="C929" s="7">
        <f>"adj. 嘶哑的"&amp;CHAR(10)&amp;"嘶哑地"</f>
        <v/>
      </c>
      <c r="G929" s="18">
        <f>HYPERLINK("D:\python\英语学习\voices\"&amp;B929&amp;"_1.mp3","BrE")</f>
        <v/>
      </c>
      <c r="H929" s="18">
        <f>HYPERLINK("D:\python\英语学习\voices\"&amp;B929&amp;"_2.mp3","AmE")</f>
        <v/>
      </c>
      <c r="I929" s="18">
        <f>HYPERLINK("http://dict.youdao.com/w/"&amp;B929,"有道")</f>
        <v/>
      </c>
    </row>
    <row customHeight="1" ht="57" r="930">
      <c r="B930" s="1" t="inlineStr">
        <is>
          <t>hoe</t>
        </is>
      </c>
      <c r="C930" s="7">
        <f>"vt. 锄，用锄头"&amp;CHAR(10)&amp;"vi. 用锄耕地"&amp;CHAR(10)&amp;"n. 锄头"&amp;CHAR(10)&amp;"n. (Hoe)人名；(英)霍；(越)槐"</f>
        <v/>
      </c>
      <c r="G930" s="18">
        <f>HYPERLINK("D:\python\英语学习\voices\"&amp;B930&amp;"_1.mp3","BrE")</f>
        <v/>
      </c>
      <c r="H930" s="18">
        <f>HYPERLINK("D:\python\英语学习\voices\"&amp;B930&amp;"_2.mp3","AmE")</f>
        <v/>
      </c>
      <c r="I930" s="18">
        <f>HYPERLINK("http://dict.youdao.com/w/"&amp;B930,"有道")</f>
        <v/>
      </c>
    </row>
    <row customHeight="1" ht="57" r="931">
      <c r="B931" s="1" t="inlineStr">
        <is>
          <t>hoist</t>
        </is>
      </c>
      <c r="C931" s="7">
        <f>"n. 起重机；升起，吊起"&amp;CHAR(10)&amp;"vi. 升起；吊起"&amp;CHAR(10)&amp;"vt. （用绳索，起重机等）使升起"&amp;CHAR(10)&amp;"n. (Hoist)人名；(英)霍伊斯特"</f>
        <v/>
      </c>
      <c r="E931" t="inlineStr">
        <is>
          <t>直上直下的那种升起吊起</t>
        </is>
      </c>
      <c r="G931" s="18">
        <f>HYPERLINK("D:\python\英语学习\voices\"&amp;B931&amp;"_1.mp3","BrE")</f>
        <v/>
      </c>
      <c r="H931" s="18">
        <f>HYPERLINK("D:\python\英语学习\voices\"&amp;B931&amp;"_2.mp3","AmE")</f>
        <v/>
      </c>
      <c r="I931" s="18">
        <f>HYPERLINK("http://dict.youdao.com/w/"&amp;B931,"有道")</f>
        <v/>
      </c>
    </row>
    <row r="932">
      <c r="B932" s="1" t="inlineStr">
        <is>
          <t>homely</t>
        </is>
      </c>
      <c r="C932" s="7">
        <f>"adj. 家庭的；平凡的；不好看的"</f>
        <v/>
      </c>
      <c r="G932" s="18">
        <f>HYPERLINK("D:\python\英语学习\voices\"&amp;B932&amp;"_1.mp3","BrE")</f>
        <v/>
      </c>
      <c r="H932" s="18">
        <f>HYPERLINK("D:\python\英语学习\voices\"&amp;B932&amp;"_2.mp3","AmE")</f>
        <v/>
      </c>
      <c r="I932" s="18">
        <f>HYPERLINK("http://dict.youdao.com/w/"&amp;B932,"有道")</f>
        <v/>
      </c>
    </row>
    <row customHeight="1" ht="71.25" r="933">
      <c r="B933" s="1" t="inlineStr">
        <is>
          <t>hop</t>
        </is>
      </c>
      <c r="C933" s="7">
        <f>"v. 单足跳跃〔跳行〕"&amp;CHAR(10)&amp;"vt. 搭乘"&amp;CHAR(10)&amp;"vi. 双足或齐足跳行"&amp;CHAR(10)&amp;"n. 蹦跳,跳跃；跳舞；一次飞行的距离"&amp;CHAR(10)&amp;"n. (Hop)人名；(中)合(广东话·威妥玛)"</f>
        <v/>
      </c>
      <c r="E933" s="6" t="inlineStr">
        <is>
          <t>单脚跳</t>
        </is>
      </c>
      <c r="G933" s="18">
        <f>HYPERLINK("D:\python\英语学习\voices\"&amp;B933&amp;"_1.mp3","BrE")</f>
        <v/>
      </c>
      <c r="H933" s="18">
        <f>HYPERLINK("D:\python\英语学习\voices\"&amp;B933&amp;"_2.mp3","AmE")</f>
        <v/>
      </c>
      <c r="I933" s="18">
        <f>HYPERLINK("http://dict.youdao.com/w/"&amp;B933,"有道")</f>
        <v/>
      </c>
    </row>
    <row customHeight="1" ht="28.5" r="934">
      <c r="B934" s="1" t="inlineStr">
        <is>
          <t>hose</t>
        </is>
      </c>
      <c r="C934" s="7">
        <f>"n. 软管；长筒袜；男性穿的紧身裤"&amp;CHAR(10)&amp;"vt. 用软管浇水；痛打"</f>
        <v/>
      </c>
      <c r="G934" s="18">
        <f>HYPERLINK("D:\python\英语学习\voices\"&amp;B934&amp;"_1.mp3","BrE")</f>
        <v/>
      </c>
      <c r="H934" s="18">
        <f>HYPERLINK("D:\python\英语学习\voices\"&amp;B934&amp;"_2.mp3","AmE")</f>
        <v/>
      </c>
      <c r="I934" s="18">
        <f>HYPERLINK("http://dict.youdao.com/w/"&amp;B934,"有道")</f>
        <v/>
      </c>
    </row>
    <row r="935">
      <c r="B935" s="1" t="inlineStr">
        <is>
          <t>hostel</t>
        </is>
      </c>
      <c r="C935" s="7">
        <f>"n. 旅社，招待所（尤指青年旅社）"</f>
        <v/>
      </c>
      <c r="G935" s="18">
        <f>HYPERLINK("D:\python\英语学习\voices\"&amp;B935&amp;"_1.mp3","BrE")</f>
        <v/>
      </c>
      <c r="H935" s="18">
        <f>HYPERLINK("D:\python\英语学习\voices\"&amp;B935&amp;"_2.mp3","AmE")</f>
        <v/>
      </c>
      <c r="I935" s="18">
        <f>HYPERLINK("http://dict.youdao.com/w/"&amp;B935,"有道")</f>
        <v/>
      </c>
    </row>
    <row customHeight="1" ht="28.5" r="936">
      <c r="B936" s="1" t="inlineStr">
        <is>
          <t>hostile</t>
        </is>
      </c>
      <c r="C936" s="7">
        <f>"adj. 敌对的，敌方的；怀敌意的"&amp;CHAR(10)&amp;"n. 敌对"</f>
        <v/>
      </c>
      <c r="G936" s="18">
        <f>HYPERLINK("D:\python\英语学习\voices\"&amp;B936&amp;"_1.mp3","BrE")</f>
        <v/>
      </c>
      <c r="H936" s="18">
        <f>HYPERLINK("D:\python\英语学习\voices\"&amp;B936&amp;"_2.mp3","AmE")</f>
        <v/>
      </c>
      <c r="I936" s="18">
        <f>HYPERLINK("http://dict.youdao.com/w/"&amp;B936,"有道")</f>
        <v/>
      </c>
    </row>
    <row customHeight="1" ht="28.5" r="937">
      <c r="A937" s="1" t="inlineStr">
        <is>
          <t>unnecessary</t>
        </is>
      </c>
      <c r="B937" s="1" t="inlineStr">
        <is>
          <t>hub</t>
        </is>
      </c>
      <c r="C937" s="7">
        <f>"n. 中心；毂；木片"&amp;CHAR(10)&amp;"n. (Hub)人名；(捷)胡布"</f>
        <v/>
      </c>
      <c r="G937" s="18">
        <f>HYPERLINK("D:\python\英语学习\voices\"&amp;B937&amp;"_1.mp3","BrE")</f>
        <v/>
      </c>
      <c r="H937" s="18">
        <f>HYPERLINK("D:\python\英语学习\voices\"&amp;B937&amp;"_2.mp3","AmE")</f>
        <v/>
      </c>
      <c r="I937" s="18">
        <f>HYPERLINK("http://dict.youdao.com/w/"&amp;B937,"有道")</f>
        <v/>
      </c>
    </row>
    <row customHeight="1" ht="57" r="938">
      <c r="B938" s="1" t="inlineStr">
        <is>
          <t>huddle</t>
        </is>
      </c>
      <c r="C938" s="7">
        <f>"vt. 把...挤在一起；使缩成一团；草率了事"&amp;CHAR(10)&amp;"vi. 蜷缩；挤作一团"&amp;CHAR(10)&amp;"n. 拥挤；混乱；杂乱一团"&amp;CHAR(10)&amp;"n. (Huddle)人名；(英)赫德尔"</f>
        <v/>
      </c>
      <c r="G938" s="18">
        <f>HYPERLINK("D:\python\英语学习\voices\"&amp;B938&amp;"_1.mp3","BrE")</f>
        <v/>
      </c>
      <c r="H938" s="18">
        <f>HYPERLINK("D:\python\英语学习\voices\"&amp;B938&amp;"_2.mp3","AmE")</f>
        <v/>
      </c>
      <c r="I938" s="18">
        <f>HYPERLINK("http://dict.youdao.com/w/"&amp;B938,"有道")</f>
        <v/>
      </c>
    </row>
    <row customHeight="1" ht="85.5" r="939">
      <c r="B939" s="1" t="inlineStr">
        <is>
          <t>hum</t>
        </is>
      </c>
      <c r="C939" s="7">
        <f>"vi. 发低哼声"&amp;CHAR(10)&amp;"vt. 用哼声表示"&amp;CHAR(10)&amp;"n. 嗡嗡声；哼声；杂声"&amp;CHAR(10)&amp;"int. 哼；嗯"&amp;CHAR(10)&amp;"n. (Hum)人名；(匈、塞、英)胡姆；(东南亚国家华语)湛"</f>
        <v/>
      </c>
      <c r="G939" s="18">
        <f>HYPERLINK("D:\python\英语学习\voices\"&amp;B939&amp;"_1.mp3","BrE")</f>
        <v/>
      </c>
      <c r="H939" s="18">
        <f>HYPERLINK("D:\python\英语学习\voices\"&amp;B939&amp;"_2.mp3","AmE")</f>
        <v/>
      </c>
      <c r="I939" s="18">
        <f>HYPERLINK("http://dict.youdao.com/w/"&amp;B939,"有道")</f>
        <v/>
      </c>
    </row>
    <row r="940">
      <c r="B940" s="1" t="inlineStr">
        <is>
          <t>humiliate</t>
        </is>
      </c>
      <c r="C940" s="7">
        <f>"vt. 羞辱；使…丢脸；耻辱"</f>
        <v/>
      </c>
      <c r="G940" s="18">
        <f>HYPERLINK("D:\python\英语学习\voices\"&amp;B940&amp;"_1.mp3","BrE")</f>
        <v/>
      </c>
      <c r="H940" s="18">
        <f>HYPERLINK("D:\python\英语学习\voices\"&amp;B940&amp;"_2.mp3","AmE")</f>
        <v/>
      </c>
      <c r="I940" s="18">
        <f>HYPERLINK("http://dict.youdao.com/w/"&amp;B940,"有道")</f>
        <v/>
      </c>
    </row>
    <row r="941">
      <c r="B941" s="1" t="inlineStr">
        <is>
          <t>humiliation</t>
        </is>
      </c>
      <c r="C941" s="7">
        <f>"n. 丢脸，耻辱；蒙羞；谦卑"</f>
        <v/>
      </c>
      <c r="G941" s="18">
        <f>HYPERLINK("D:\python\英语学习\voices\"&amp;B941&amp;"_1.mp3","BrE")</f>
        <v/>
      </c>
      <c r="H941" s="18">
        <f>HYPERLINK("D:\python\英语学习\voices\"&amp;B941&amp;"_2.mp3","AmE")</f>
        <v/>
      </c>
      <c r="I941" s="18">
        <f>HYPERLINK("http://dict.youdao.com/w/"&amp;B941,"有道")</f>
        <v/>
      </c>
    </row>
    <row customHeight="1" ht="42.75" r="942">
      <c r="B942" s="1" t="inlineStr">
        <is>
          <t>hurl</t>
        </is>
      </c>
      <c r="C942" s="7">
        <f>"vt. 丢下；用力投掷；愤慨地说出"&amp;CHAR(10)&amp;"vi. 猛投；猛掷"&amp;CHAR(10)&amp;"n. 用力的投掷"</f>
        <v/>
      </c>
      <c r="G942" s="18">
        <f>HYPERLINK("D:\python\英语学习\voices\"&amp;B942&amp;"_1.mp3","BrE")</f>
        <v/>
      </c>
      <c r="H942" s="18">
        <f>HYPERLINK("D:\python\英语学习\voices\"&amp;B942&amp;"_2.mp3","AmE")</f>
        <v/>
      </c>
      <c r="I942" s="18">
        <f>HYPERLINK("http://dict.youdao.com/w/"&amp;B942,"有道")</f>
        <v/>
      </c>
    </row>
    <row r="943">
      <c r="B943" s="1" t="inlineStr">
        <is>
          <t>hurricane</t>
        </is>
      </c>
      <c r="C943" s="7">
        <f>"n. 飓风，暴风"</f>
        <v/>
      </c>
      <c r="G943" s="18">
        <f>HYPERLINK("D:\python\英语学习\voices\"&amp;B943&amp;"_1.mp3","BrE")</f>
        <v/>
      </c>
      <c r="H943" s="18">
        <f>HYPERLINK("D:\python\英语学习\voices\"&amp;B943&amp;"_2.mp3","AmE")</f>
        <v/>
      </c>
      <c r="I943" s="18">
        <f>HYPERLINK("http://dict.youdao.com/w/"&amp;B943,"有道")</f>
        <v/>
      </c>
    </row>
    <row customHeight="1" ht="57" r="944">
      <c r="B944" s="1" t="inlineStr">
        <is>
          <t>hush</t>
        </is>
      </c>
      <c r="C944" s="7">
        <f>"vt. 安静；肃静；缄默"&amp;CHAR(10)&amp;"n. 安静；肃静；沉默"&amp;CHAR(10)&amp;"vi. 沉默；安静下来"&amp;CHAR(10)&amp;"int. 嘘；别作声"</f>
        <v/>
      </c>
      <c r="G944" s="18">
        <f>HYPERLINK("D:\python\英语学习\voices\"&amp;B944&amp;"_1.mp3","BrE")</f>
        <v/>
      </c>
      <c r="H944" s="18">
        <f>HYPERLINK("D:\python\英语学习\voices\"&amp;B944&amp;"_2.mp3","AmE")</f>
        <v/>
      </c>
      <c r="I944" s="18">
        <f>HYPERLINK("http://dict.youdao.com/w/"&amp;B944,"有道")</f>
        <v/>
      </c>
    </row>
    <row r="945">
      <c r="B945" s="1" t="inlineStr">
        <is>
          <t>hydraulic</t>
        </is>
      </c>
      <c r="C945" s="7">
        <f>"adj. 液压的；水力的；水力学的"</f>
        <v/>
      </c>
      <c r="G945" s="18">
        <f>HYPERLINK("D:\python\英语学习\voices\"&amp;B945&amp;"_1.mp3","BrE")</f>
        <v/>
      </c>
      <c r="H945" s="18">
        <f>HYPERLINK("D:\python\英语学习\voices\"&amp;B945&amp;"_2.mp3","AmE")</f>
        <v/>
      </c>
      <c r="I945" s="18">
        <f>HYPERLINK("http://dict.youdao.com/w/"&amp;B945,"有道")</f>
        <v/>
      </c>
    </row>
    <row r="946">
      <c r="B946" s="1" t="inlineStr">
        <is>
          <t>hygiene</t>
        </is>
      </c>
      <c r="C946" s="7">
        <f>"n. 卫生；卫生学；保健法"</f>
        <v/>
      </c>
      <c r="G946" s="18">
        <f>HYPERLINK("D:\python\英语学习\voices\"&amp;B946&amp;"_1.mp3","BrE")</f>
        <v/>
      </c>
      <c r="H946" s="18">
        <f>HYPERLINK("D:\python\英语学习\voices\"&amp;B946&amp;"_2.mp3","AmE")</f>
        <v/>
      </c>
      <c r="I946" s="18">
        <f>HYPERLINK("http://dict.youdao.com/w/"&amp;B946,"有道")</f>
        <v/>
      </c>
    </row>
    <row customHeight="1" ht="42.75" r="947">
      <c r="B947" s="1" t="inlineStr">
        <is>
          <t>hymn</t>
        </is>
      </c>
      <c r="C947" s="7">
        <f>"n. 赞美诗；圣歌；欢乐的歌"&amp;CHAR(10)&amp;"vt. 唱赞美歌"&amp;CHAR(10)&amp;"vi. 唱赞歌"</f>
        <v/>
      </c>
      <c r="G947" s="18">
        <f>HYPERLINK("D:\python\英语学习\voices\"&amp;B947&amp;"_1.mp3","BrE")</f>
        <v/>
      </c>
      <c r="H947" s="18">
        <f>HYPERLINK("D:\python\英语学习\voices\"&amp;B947&amp;"_2.mp3","AmE")</f>
        <v/>
      </c>
      <c r="I947" s="18">
        <f>HYPERLINK("http://dict.youdao.com/w/"&amp;B947,"有道")</f>
        <v/>
      </c>
    </row>
    <row customHeight="1" ht="28.5" r="948">
      <c r="B948" s="1" t="inlineStr">
        <is>
          <t>hype</t>
        </is>
      </c>
      <c r="C948" s="7">
        <f>"n. 大肆宣传；皮下注射"&amp;CHAR(10)&amp;"vt. 大肆宣传；使…兴奋"</f>
        <v/>
      </c>
      <c r="G948" s="18">
        <f>HYPERLINK("D:\python\英语学习\voices\"&amp;B948&amp;"_1.mp3","BrE")</f>
        <v/>
      </c>
      <c r="H948" s="18">
        <f>HYPERLINK("D:\python\英语学习\voices\"&amp;B948&amp;"_2.mp3","AmE")</f>
        <v/>
      </c>
      <c r="I948" s="18">
        <f>HYPERLINK("http://dict.youdao.com/w/"&amp;B948,"有道")</f>
        <v/>
      </c>
    </row>
    <row r="949">
      <c r="B949" s="1" t="inlineStr">
        <is>
          <t>hypertension</t>
        </is>
      </c>
      <c r="C949" s="7">
        <f>"n. 高血压；过度紧张"</f>
        <v/>
      </c>
      <c r="G949" s="18">
        <f>HYPERLINK("D:\python\英语学习\voices\"&amp;B949&amp;"_1.mp3","BrE")</f>
        <v/>
      </c>
      <c r="H949" s="18">
        <f>HYPERLINK("D:\python\英语学习\voices\"&amp;B949&amp;"_2.mp3","AmE")</f>
        <v/>
      </c>
      <c r="I949" s="18">
        <f>HYPERLINK("http://dict.youdao.com/w/"&amp;B949,"有道")</f>
        <v/>
      </c>
    </row>
    <row r="950">
      <c r="B950" s="1" t="inlineStr">
        <is>
          <t>hypocrisy</t>
        </is>
      </c>
      <c r="C950" s="7">
        <f>"n. 虚伪；伪善"</f>
        <v/>
      </c>
      <c r="G950" s="18">
        <f>HYPERLINK("D:\python\英语学习\voices\"&amp;B950&amp;"_1.mp3","BrE")</f>
        <v/>
      </c>
      <c r="H950" s="18">
        <f>HYPERLINK("D:\python\英语学习\voices\"&amp;B950&amp;"_2.mp3","AmE")</f>
        <v/>
      </c>
      <c r="I950" s="18">
        <f>HYPERLINK("http://dict.youdao.com/w/"&amp;B950,"有道")</f>
        <v/>
      </c>
    </row>
    <row customHeight="1" ht="28.5" r="951">
      <c r="B951" s="1" t="inlineStr">
        <is>
          <t>hypothesize</t>
        </is>
      </c>
      <c r="C951" s="7">
        <f>"vt. 假设，假定"&amp;CHAR(10)&amp;"vi. 假设，假定"</f>
        <v/>
      </c>
      <c r="G951" s="18">
        <f>HYPERLINK("D:\python\英语学习\voices\"&amp;B951&amp;"_1.mp3","BrE")</f>
        <v/>
      </c>
      <c r="H951" s="18">
        <f>HYPERLINK("D:\python\英语学习\voices\"&amp;B951&amp;"_2.mp3","AmE")</f>
        <v/>
      </c>
      <c r="I951" s="18">
        <f>HYPERLINK("http://dict.youdao.com/w/"&amp;B951,"有道")</f>
        <v/>
      </c>
    </row>
    <row r="952">
      <c r="B952" s="1" t="inlineStr">
        <is>
          <t>hypothetical</t>
        </is>
      </c>
      <c r="C952" s="7">
        <f>"adj. 假设的；爱猜想的"</f>
        <v/>
      </c>
      <c r="G952" s="18">
        <f>HYPERLINK("D:\python\英语学习\voices\"&amp;B952&amp;"_1.mp3","BrE")</f>
        <v/>
      </c>
      <c r="H952" s="18">
        <f>HYPERLINK("D:\python\英语学习\voices\"&amp;B952&amp;"_2.mp3","AmE")</f>
        <v/>
      </c>
      <c r="I952" s="18">
        <f>HYPERLINK("http://dict.youdao.com/w/"&amp;B952,"有道")</f>
        <v/>
      </c>
    </row>
    <row r="953">
      <c r="B953" s="1" t="inlineStr">
        <is>
          <t>hysteria</t>
        </is>
      </c>
      <c r="C953" s="7">
        <f>"n. 癔病，歇斯底里；不正常的兴奋"</f>
        <v/>
      </c>
      <c r="G953" s="18">
        <f>HYPERLINK("D:\python\英语学习\voices\"&amp;B953&amp;"_1.mp3","BrE")</f>
        <v/>
      </c>
      <c r="H953" s="18">
        <f>HYPERLINK("D:\python\英语学习\voices\"&amp;B953&amp;"_2.mp3","AmE")</f>
        <v/>
      </c>
      <c r="I953" s="18">
        <f>HYPERLINK("http://dict.youdao.com/w/"&amp;B953,"有道")</f>
        <v/>
      </c>
    </row>
    <row r="954">
      <c r="B954" s="1" t="inlineStr">
        <is>
          <t>hysterical</t>
        </is>
      </c>
      <c r="C954" s="7">
        <f>"adj. 歇斯底里的；异常兴奋的"</f>
        <v/>
      </c>
      <c r="G954" s="18">
        <f>HYPERLINK("D:\python\英语学习\voices\"&amp;B954&amp;"_1.mp3","BrE")</f>
        <v/>
      </c>
      <c r="H954" s="18">
        <f>HYPERLINK("D:\python\英语学习\voices\"&amp;B954&amp;"_2.mp3","AmE")</f>
        <v/>
      </c>
      <c r="I954" s="18">
        <f>HYPERLINK("http://dict.youdao.com/w/"&amp;B954,"有道")</f>
        <v/>
      </c>
    </row>
    <row r="955">
      <c r="B955" s="1" t="inlineStr">
        <is>
          <t>idealism</t>
        </is>
      </c>
      <c r="C955" s="7">
        <f>"n. 唯心主义，理想主义；理念论"</f>
        <v/>
      </c>
      <c r="G955" s="18">
        <f>HYPERLINK("D:\python\英语学习\voices\"&amp;B955&amp;"_1.mp3","BrE")</f>
        <v/>
      </c>
      <c r="H955" s="18">
        <f>HYPERLINK("D:\python\英语学习\voices\"&amp;B955&amp;"_2.mp3","AmE")</f>
        <v/>
      </c>
      <c r="I955" s="18">
        <f>HYPERLINK("http://dict.youdao.com/w/"&amp;B955,"有道")</f>
        <v/>
      </c>
    </row>
    <row customHeight="1" ht="28.5" r="956">
      <c r="B956" s="1" t="inlineStr">
        <is>
          <t>idol</t>
        </is>
      </c>
      <c r="C956" s="7">
        <f>"n. 偶像，崇拜物；幻象；谬论"&amp;CHAR(10)&amp;"n. (Idol)人名；(英)伊多尔"</f>
        <v/>
      </c>
      <c r="G956" s="18">
        <f>HYPERLINK("D:\python\英语学习\voices\"&amp;B956&amp;"_1.mp3","BrE")</f>
        <v/>
      </c>
      <c r="H956" s="18">
        <f>HYPERLINK("D:\python\英语学习\voices\"&amp;B956&amp;"_2.mp3","AmE")</f>
        <v/>
      </c>
      <c r="I956" s="18">
        <f>HYPERLINK("http://dict.youdao.com/w/"&amp;B956,"有道")</f>
        <v/>
      </c>
    </row>
    <row customHeight="1" ht="28.5" r="957">
      <c r="B957" s="1" t="inlineStr">
        <is>
          <t>ignite</t>
        </is>
      </c>
      <c r="C957" s="7">
        <f>"vt. 点燃；使燃烧；使激动"&amp;CHAR(10)&amp;"vi. 点火；燃烧"</f>
        <v/>
      </c>
      <c r="G957" s="18">
        <f>HYPERLINK("D:\python\英语学习\voices\"&amp;B957&amp;"_1.mp3","BrE")</f>
        <v/>
      </c>
      <c r="H957" s="18">
        <f>HYPERLINK("D:\python\英语学习\voices\"&amp;B957&amp;"_2.mp3","AmE")</f>
        <v/>
      </c>
      <c r="I957" s="18">
        <f>HYPERLINK("http://dict.youdao.com/w/"&amp;B957,"有道")</f>
        <v/>
      </c>
    </row>
    <row r="958">
      <c r="B958" s="1" t="inlineStr">
        <is>
          <t>ignorant</t>
        </is>
      </c>
      <c r="C958" s="7">
        <f>"adj. 无知的；愚昧的"</f>
        <v/>
      </c>
      <c r="G958" s="18">
        <f>HYPERLINK("D:\python\英语学习\voices\"&amp;B958&amp;"_1.mp3","BrE")</f>
        <v/>
      </c>
      <c r="H958" s="18">
        <f>HYPERLINK("D:\python\英语学习\voices\"&amp;B958&amp;"_2.mp3","AmE")</f>
        <v/>
      </c>
      <c r="I958" s="18">
        <f>HYPERLINK("http://dict.youdao.com/w/"&amp;B958,"有道")</f>
        <v/>
      </c>
    </row>
    <row customHeight="1" ht="28.5" r="959">
      <c r="B959" s="1" t="inlineStr">
        <is>
          <t>illuminate</t>
        </is>
      </c>
      <c r="C959" s="7">
        <f>"vt. 阐明，说明；照亮；使灿烂；用灯装饰"&amp;CHAR(10)&amp;"vi. 照亮"</f>
        <v/>
      </c>
      <c r="E959" s="6" t="inlineStr">
        <is>
          <t>好多意思-阐明说明</t>
        </is>
      </c>
      <c r="G959" s="18">
        <f>HYPERLINK("D:\python\英语学习\voices\"&amp;B959&amp;"_1.mp3","BrE")</f>
        <v/>
      </c>
      <c r="H959" s="18">
        <f>HYPERLINK("D:\python\英语学习\voices\"&amp;B959&amp;"_2.mp3","AmE")</f>
        <v/>
      </c>
      <c r="I959" s="18">
        <f>HYPERLINK("http://dict.youdao.com/w/"&amp;B959,"有道")</f>
        <v/>
      </c>
    </row>
    <row r="960">
      <c r="B960" s="1" t="inlineStr">
        <is>
          <t>illusion</t>
        </is>
      </c>
      <c r="C960" s="7">
        <f>"n. 幻觉，错觉；错误的观念或信仰"</f>
        <v/>
      </c>
      <c r="G960" s="18">
        <f>HYPERLINK("D:\python\英语学习\voices\"&amp;B960&amp;"_1.mp3","BrE")</f>
        <v/>
      </c>
      <c r="H960" s="18">
        <f>HYPERLINK("D:\python\英语学习\voices\"&amp;B960&amp;"_2.mp3","AmE")</f>
        <v/>
      </c>
      <c r="I960" s="18">
        <f>HYPERLINK("http://dict.youdao.com/w/"&amp;B960,"有道")</f>
        <v/>
      </c>
    </row>
    <row r="961">
      <c r="B961" s="1" t="inlineStr">
        <is>
          <t>imaginary</t>
        </is>
      </c>
      <c r="C961" s="7">
        <f>"adj. 虚构的，假想的；想像的；虚数的"</f>
        <v/>
      </c>
      <c r="G961" s="18">
        <f>HYPERLINK("D:\python\英语学习\voices\"&amp;B961&amp;"_1.mp3","BrE")</f>
        <v/>
      </c>
      <c r="H961" s="18">
        <f>HYPERLINK("D:\python\英语学习\voices\"&amp;B961&amp;"_2.mp3","AmE")</f>
        <v/>
      </c>
      <c r="I961" s="18">
        <f>HYPERLINK("http://dict.youdao.com/w/"&amp;B961,"有道")</f>
        <v/>
      </c>
    </row>
    <row r="962">
      <c r="B962" s="1" t="inlineStr">
        <is>
          <t>impair</t>
        </is>
      </c>
      <c r="C962" s="7">
        <f>"vt. 损害；削弱；减少"</f>
        <v/>
      </c>
      <c r="G962" s="18">
        <f>HYPERLINK("D:\python\英语学习\voices\"&amp;B962&amp;"_1.mp3","BrE")</f>
        <v/>
      </c>
      <c r="H962" s="18">
        <f>HYPERLINK("D:\python\英语学习\voices\"&amp;B962&amp;"_2.mp3","AmE")</f>
        <v/>
      </c>
      <c r="I962" s="18">
        <f>HYPERLINK("http://dict.youdao.com/w/"&amp;B962,"有道")</f>
        <v/>
      </c>
    </row>
    <row customHeight="1" ht="43.5" r="963">
      <c r="A963" t="inlineStr">
        <is>
          <t>important</t>
        </is>
      </c>
      <c r="B963" s="1" t="inlineStr">
        <is>
          <t>demanding</t>
        </is>
      </c>
      <c r="C963" s="17">
        <f>"v. 强烈要求；需要；逼问（demand 的现在分词）"&amp;CHAR(10)&amp;"adj. （工作）要求高的，费力的；（人）苛求的，难满足的"</f>
        <v/>
      </c>
      <c r="G963" s="18">
        <f>HYPERLINK("D:\python\英语学习\voices\"&amp;B963&amp;"_1.mp3","BrE")</f>
        <v/>
      </c>
      <c r="H963" s="18">
        <f>HYPERLINK("D:\python\英语学习\voices\"&amp;B963&amp;"_2.mp3","AmE")</f>
        <v/>
      </c>
      <c r="I963" s="18">
        <f>HYPERLINK("http://dict.youdao.com/w/"&amp;B963,"有道")</f>
        <v/>
      </c>
    </row>
    <row r="964">
      <c r="B964" s="1" t="inlineStr">
        <is>
          <t>impartial</t>
        </is>
      </c>
      <c r="C964" s="7">
        <f>"adj. 公平的，公正的；不偏不倚的"</f>
        <v/>
      </c>
      <c r="G964" s="18">
        <f>HYPERLINK("D:\python\英语学习\voices\"&amp;B964&amp;"_1.mp3","BrE")</f>
        <v/>
      </c>
      <c r="H964" s="18">
        <f>HYPERLINK("D:\python\英语学习\voices\"&amp;B964&amp;"_2.mp3","AmE")</f>
        <v/>
      </c>
      <c r="I964" s="18">
        <f>HYPERLINK("http://dict.youdao.com/w/"&amp;B964,"有道")</f>
        <v/>
      </c>
    </row>
    <row customHeight="1" ht="28.5" r="965">
      <c r="A965" t="inlineStr">
        <is>
          <t>important</t>
        </is>
      </c>
      <c r="B965" s="1" t="inlineStr">
        <is>
          <t>disposable</t>
        </is>
      </c>
      <c r="C965" s="17">
        <f>"adj. 可任意处理的；可自由使用的；用完即可丢弃的"</f>
        <v/>
      </c>
      <c r="E965" s="16" t="inlineStr">
        <is>
          <t>一次性的</t>
        </is>
      </c>
      <c r="G965" s="18">
        <f>HYPERLINK("D:\python\英语学习\voices\"&amp;B965&amp;"_1.mp3","BrE")</f>
        <v/>
      </c>
      <c r="H965" s="18">
        <f>HYPERLINK("D:\python\英语学习\voices\"&amp;B965&amp;"_2.mp3","AmE")</f>
        <v/>
      </c>
      <c r="I965" s="18">
        <f>HYPERLINK("http://dict.youdao.com/w/"&amp;B965,"有道")</f>
        <v/>
      </c>
    </row>
    <row customHeight="1" ht="57" r="966">
      <c r="A966" t="inlineStr">
        <is>
          <t>important</t>
        </is>
      </c>
      <c r="B966" s="1" t="inlineStr">
        <is>
          <t>intensify</t>
        </is>
      </c>
      <c r="C966" s="17">
        <f>"vi. 增强，强化；变激烈"&amp;CHAR(10)&amp;"vt. 使加强，使强化；使变激烈"</f>
        <v/>
      </c>
    </row>
    <row r="967">
      <c r="B967" s="1" t="inlineStr">
        <is>
          <t>impetus</t>
        </is>
      </c>
      <c r="C967" s="7">
        <f>"n. 动力；促进；冲力"</f>
        <v/>
      </c>
      <c r="G967" s="18">
        <f>HYPERLINK("D:\python\英语学习\voices\"&amp;B967&amp;"_1.mp3","BrE")</f>
        <v/>
      </c>
      <c r="H967" s="18">
        <f>HYPERLINK("D:\python\英语学习\voices\"&amp;B967&amp;"_2.mp3","AmE")</f>
        <v/>
      </c>
      <c r="I967" s="18">
        <f>HYPERLINK("http://dict.youdao.com/w/"&amp;B967,"有道")</f>
        <v/>
      </c>
    </row>
    <row customHeight="1" ht="28.5" r="968">
      <c r="B968" s="1" t="inlineStr">
        <is>
          <t>implement</t>
        </is>
      </c>
      <c r="C968" s="7">
        <f>"vt. 实施，执行；实现，使生效"&amp;CHAR(10)&amp;"n. 工具，器具；手段"</f>
        <v/>
      </c>
      <c r="G968" s="18">
        <f>HYPERLINK("D:\python\英语学习\voices\"&amp;B968&amp;"_1.mp3","BrE")</f>
        <v/>
      </c>
      <c r="H968" s="18">
        <f>HYPERLINK("D:\python\英语学习\voices\"&amp;B968&amp;"_2.mp3","AmE")</f>
        <v/>
      </c>
      <c r="I968" s="18">
        <f>HYPERLINK("http://dict.youdao.com/w/"&amp;B968,"有道")</f>
        <v/>
      </c>
    </row>
    <row r="969">
      <c r="B969" s="1" t="inlineStr">
        <is>
          <t>implementation</t>
        </is>
      </c>
      <c r="C969" s="7">
        <f>"n. [计] 实现；履行；安装启用"</f>
        <v/>
      </c>
      <c r="G969" s="18">
        <f>HYPERLINK("D:\python\英语学习\voices\"&amp;B969&amp;"_1.mp3","BrE")</f>
        <v/>
      </c>
      <c r="H969" s="18">
        <f>HYPERLINK("D:\python\英语学习\voices\"&amp;B969&amp;"_2.mp3","AmE")</f>
        <v/>
      </c>
      <c r="I969" s="18">
        <f>HYPERLINK("http://dict.youdao.com/w/"&amp;B969,"有道")</f>
        <v/>
      </c>
    </row>
    <row customHeight="1" ht="28.5" r="970">
      <c r="A970" t="inlineStr">
        <is>
          <t>important</t>
        </is>
      </c>
      <c r="B970" s="1" t="inlineStr">
        <is>
          <t>gear</t>
        </is>
      </c>
      <c r="C970" s="17">
        <f>"n. 齿轮；装置，工具；传动装置；排挡"&amp;CHAR(10)&amp;"vi. 适合；搭上齿轮；开始工作"&amp;CHAR(10)&amp;"vt. 开动；搭上齿轮；使……适合；使……准备好"&amp;CHAR(10)&amp;"adj. 好极了"&amp;CHAR(10)&amp;"n. （Gear）（英）吉尔（人名）"</f>
        <v/>
      </c>
      <c r="E970" t="inlineStr">
        <is>
          <t>gear to/towards sth旨在，适合于
gear up for/to do sth为..做好准备</t>
        </is>
      </c>
    </row>
    <row r="971">
      <c r="B971" s="1" t="inlineStr">
        <is>
          <t>imposition</t>
        </is>
      </c>
      <c r="C971" s="7">
        <f>"n. 征收；强加；欺骗；不公平的负担"</f>
        <v/>
      </c>
      <c r="G971" s="18">
        <f>HYPERLINK("D:\python\英语学习\voices\"&amp;B971&amp;"_1.mp3","BrE")</f>
        <v/>
      </c>
      <c r="H971" s="18">
        <f>HYPERLINK("D:\python\英语学习\voices\"&amp;B971&amp;"_2.mp3","AmE")</f>
        <v/>
      </c>
      <c r="I971" s="18">
        <f>HYPERLINK("http://dict.youdao.com/w/"&amp;B971,"有道")</f>
        <v/>
      </c>
    </row>
    <row customHeight="1" ht="28.5" r="972">
      <c r="B972" s="1" t="inlineStr">
        <is>
          <t>impregnable</t>
        </is>
      </c>
      <c r="C972" s="7">
        <f>"adj. 无法攻取的；不受影响的；要塞坚固的；有受精可能的；可以受孕的"</f>
        <v/>
      </c>
      <c r="G972" s="18">
        <f>HYPERLINK("D:\python\英语学习\voices\"&amp;B972&amp;"_1.mp3","BrE")</f>
        <v/>
      </c>
      <c r="H972" s="18">
        <f>HYPERLINK("D:\python\英语学习\voices\"&amp;B972&amp;"_2.mp3","AmE")</f>
        <v/>
      </c>
      <c r="I972" s="18">
        <f>HYPERLINK("http://dict.youdao.com/w/"&amp;B972,"有道")</f>
        <v/>
      </c>
    </row>
    <row customHeight="1" ht="28.5" r="973">
      <c r="B973" s="1" t="inlineStr">
        <is>
          <t>imprint</t>
        </is>
      </c>
      <c r="C973" s="7">
        <f>"n. 印记；痕迹；特征；版本说明"&amp;CHAR(10)&amp;"vt. 加特征；刻上记号"</f>
        <v/>
      </c>
      <c r="G973" s="18">
        <f>HYPERLINK("D:\python\英语学习\voices\"&amp;B973&amp;"_1.mp3","BrE")</f>
        <v/>
      </c>
      <c r="H973" s="18">
        <f>HYPERLINK("D:\python\英语学习\voices\"&amp;B973&amp;"_2.mp3","AmE")</f>
        <v/>
      </c>
      <c r="I973" s="18">
        <f>HYPERLINK("http://dict.youdao.com/w/"&amp;B973,"有道")</f>
        <v/>
      </c>
    </row>
    <row customHeight="1" ht="28.5" r="974">
      <c r="B974" s="1" t="inlineStr">
        <is>
          <t>improvise</t>
        </is>
      </c>
      <c r="C974" s="7">
        <f>"vt. 即兴创作；即兴表演；临时做；临时提供"&amp;CHAR(10)&amp;"vi. 即兴创作；即兴表演；临时凑合"</f>
        <v/>
      </c>
      <c r="G974" s="18">
        <f>HYPERLINK("D:\python\英语学习\voices\"&amp;B974&amp;"_1.mp3","BrE")</f>
        <v/>
      </c>
      <c r="H974" s="18">
        <f>HYPERLINK("D:\python\英语学习\voices\"&amp;B974&amp;"_2.mp3","AmE")</f>
        <v/>
      </c>
      <c r="I974" s="18">
        <f>HYPERLINK("http://dict.youdao.com/w/"&amp;B974,"有道")</f>
        <v/>
      </c>
    </row>
    <row customHeight="1" ht="42.75" r="975">
      <c r="B975" s="1" t="inlineStr">
        <is>
          <t>impulse</t>
        </is>
      </c>
      <c r="C975" s="7">
        <f>"n. 冲动；[电子] 脉冲；刺激；神经冲动；推动力"&amp;CHAR(10)&amp;"vt. 推动"</f>
        <v/>
      </c>
      <c r="G975" s="18">
        <f>HYPERLINK("D:\python\英语学习\voices\"&amp;B975&amp;"_1.mp3","BrE")</f>
        <v/>
      </c>
      <c r="H975" s="18">
        <f>HYPERLINK("D:\python\英语学习\voices\"&amp;B975&amp;"_2.mp3","AmE")</f>
        <v/>
      </c>
      <c r="I975" s="18">
        <f>HYPERLINK("http://dict.youdao.com/w/"&amp;B975,"有道")</f>
        <v/>
      </c>
    </row>
    <row r="976">
      <c r="B976" s="1" t="inlineStr">
        <is>
          <t>impurity</t>
        </is>
      </c>
      <c r="C976" s="7">
        <f>"n. 杂质；不纯；不洁"</f>
        <v/>
      </c>
      <c r="G976" s="18">
        <f>HYPERLINK("D:\python\英语学习\voices\"&amp;B976&amp;"_1.mp3","BrE")</f>
        <v/>
      </c>
      <c r="H976" s="18">
        <f>HYPERLINK("D:\python\英语学习\voices\"&amp;B976&amp;"_2.mp3","AmE")</f>
        <v/>
      </c>
      <c r="I976" s="18">
        <f>HYPERLINK("http://dict.youdao.com/w/"&amp;B976,"有道")</f>
        <v/>
      </c>
    </row>
    <row customHeight="1" ht="28.5" r="977">
      <c r="B977" s="1" t="inlineStr">
        <is>
          <t>inaugurate</t>
        </is>
      </c>
      <c r="C977" s="7">
        <f>"vt. 创新；开辟；开创；举行开幕典礼；举行就职典礼"</f>
        <v/>
      </c>
      <c r="G977" s="18">
        <f>HYPERLINK("D:\python\英语学习\voices\"&amp;B977&amp;"_1.mp3","BrE")</f>
        <v/>
      </c>
      <c r="H977" s="18">
        <f>HYPERLINK("D:\python\英语学习\voices\"&amp;B977&amp;"_2.mp3","AmE")</f>
        <v/>
      </c>
      <c r="I977" s="18">
        <f>HYPERLINK("http://dict.youdao.com/w/"&amp;B977,"有道")</f>
        <v/>
      </c>
    </row>
    <row customHeight="1" ht="42.75" r="978">
      <c r="B978" s="1" t="inlineStr">
        <is>
          <t>incense</t>
        </is>
      </c>
      <c r="C978" s="7">
        <f>"vt. 向…焚香；使…发怒"&amp;CHAR(10)&amp;"n. 香；奉承"&amp;CHAR(10)&amp;"vi. 焚香"</f>
        <v/>
      </c>
      <c r="E978" s="6" t="inlineStr">
        <is>
          <t>名词重音在前动词重音在后</t>
        </is>
      </c>
      <c r="G978" s="18">
        <f>HYPERLINK("D:\python\英语学习\voices\"&amp;B978&amp;"_1.mp3","BrE")</f>
        <v/>
      </c>
      <c r="H978" s="18">
        <f>HYPERLINK("D:\python\英语学习\voices\"&amp;B978&amp;"_2.mp3","AmE")</f>
        <v/>
      </c>
      <c r="I978" s="18">
        <f>HYPERLINK("http://dict.youdao.com/w/"&amp;B978,"有道")</f>
        <v/>
      </c>
    </row>
    <row customHeight="1" ht="57" r="979">
      <c r="B979" s="1" t="inlineStr">
        <is>
          <t>inch</t>
        </is>
      </c>
      <c r="C979" s="7">
        <f>"n. 英寸；身高；少许"&amp;CHAR(10)&amp;"vt. 使缓慢地移动"&amp;CHAR(10)&amp;"vi. 慢慢前进"&amp;CHAR(10)&amp;"n. (Inch)人名；(英)英奇"</f>
        <v/>
      </c>
      <c r="G979" s="18">
        <f>HYPERLINK("D:\python\英语学习\voices\"&amp;B979&amp;"_1.mp3","BrE")</f>
        <v/>
      </c>
      <c r="H979" s="18">
        <f>HYPERLINK("D:\python\英语学习\voices\"&amp;B979&amp;"_2.mp3","AmE")</f>
        <v/>
      </c>
      <c r="I979" s="18">
        <f>HYPERLINK("http://dict.youdao.com/w/"&amp;B979,"有道")</f>
        <v/>
      </c>
    </row>
    <row r="980">
      <c r="B980" s="1" t="inlineStr">
        <is>
          <t>incidence</t>
        </is>
      </c>
      <c r="C980" s="7">
        <f>"n. 发生率；影响；[光] 入射；影响范围"</f>
        <v/>
      </c>
      <c r="G980" s="18">
        <f>HYPERLINK("D:\python\英语学习\voices\"&amp;B980&amp;"_1.mp3","BrE")</f>
        <v/>
      </c>
      <c r="H980" s="18">
        <f>HYPERLINK("D:\python\英语学习\voices\"&amp;B980&amp;"_2.mp3","AmE")</f>
        <v/>
      </c>
      <c r="I980" s="18">
        <f>HYPERLINK("http://dict.youdao.com/w/"&amp;B980,"有道")</f>
        <v/>
      </c>
    </row>
    <row r="981">
      <c r="B981" s="1" t="inlineStr">
        <is>
          <t>incidentally</t>
        </is>
      </c>
      <c r="C981" s="7">
        <f>"adv. 顺便；偶然地；附带地"</f>
        <v/>
      </c>
      <c r="G981" s="18">
        <f>HYPERLINK("D:\python\英语学习\voices\"&amp;B981&amp;"_1.mp3","BrE")</f>
        <v/>
      </c>
      <c r="H981" s="18">
        <f>HYPERLINK("D:\python\英语学习\voices\"&amp;B981&amp;"_2.mp3","AmE")</f>
        <v/>
      </c>
      <c r="I981" s="18">
        <f>HYPERLINK("http://dict.youdao.com/w/"&amp;B981,"有道")</f>
        <v/>
      </c>
    </row>
    <row r="982">
      <c r="B982" s="1" t="inlineStr">
        <is>
          <t>inclination</t>
        </is>
      </c>
      <c r="C982" s="7">
        <f>"n. 倾向，爱好；斜坡"</f>
        <v/>
      </c>
      <c r="G982" s="18">
        <f>HYPERLINK("D:\python\英语学习\voices\"&amp;B982&amp;"_1.mp3","BrE")</f>
        <v/>
      </c>
      <c r="H982" s="18">
        <f>HYPERLINK("D:\python\英语学习\voices\"&amp;B982&amp;"_2.mp3","AmE")</f>
        <v/>
      </c>
      <c r="I982" s="18">
        <f>HYPERLINK("http://dict.youdao.com/w/"&amp;B982,"有道")</f>
        <v/>
      </c>
    </row>
    <row customHeight="1" ht="42.75" r="983">
      <c r="B983" s="1" t="inlineStr">
        <is>
          <t>incline</t>
        </is>
      </c>
      <c r="C983" s="7">
        <f>"vi. 倾斜；倾向；易于"&amp;CHAR(10)&amp;"vt. 使倾斜；使倾向于"&amp;CHAR(10)&amp;"n. 倾斜；斜面；斜坡"</f>
        <v/>
      </c>
      <c r="E983" t="inlineStr">
        <is>
          <t>incline to，倾向于，注意to是介词。I incline to xx而不是I am incline to xx</t>
        </is>
      </c>
      <c r="G983" s="18">
        <f>HYPERLINK("D:\python\英语学习\voices\"&amp;B983&amp;"_1.mp3","BrE")</f>
        <v/>
      </c>
      <c r="H983" s="18">
        <f>HYPERLINK("D:\python\英语学习\voices\"&amp;B983&amp;"_2.mp3","AmE")</f>
        <v/>
      </c>
      <c r="I983" s="18">
        <f>HYPERLINK("http://dict.youdao.com/w/"&amp;B983,"有道")</f>
        <v/>
      </c>
    </row>
    <row r="984">
      <c r="B984" s="1" t="inlineStr">
        <is>
          <t>inclusive</t>
        </is>
      </c>
      <c r="C984" s="7">
        <f>"adj. 包括的，包含的"</f>
        <v/>
      </c>
      <c r="G984" s="18">
        <f>HYPERLINK("D:\python\英语学习\voices\"&amp;B984&amp;"_1.mp3","BrE")</f>
        <v/>
      </c>
      <c r="H984" s="18">
        <f>HYPERLINK("D:\python\英语学习\voices\"&amp;B984&amp;"_2.mp3","AmE")</f>
        <v/>
      </c>
      <c r="I984" s="18">
        <f>HYPERLINK("http://dict.youdao.com/w/"&amp;B984,"有道")</f>
        <v/>
      </c>
    </row>
    <row customHeight="1" ht="28.5" r="985">
      <c r="B985" s="1" t="inlineStr">
        <is>
          <t>incompatible</t>
        </is>
      </c>
      <c r="C985" s="7">
        <f>"adj. 不相容的；矛盾的；不能同时成立的"&amp;CHAR(10)&amp;"n. 互不相容的人或事物"</f>
        <v/>
      </c>
      <c r="D985" s="6" t="inlineStr">
        <is>
          <t>注意拼写</t>
        </is>
      </c>
      <c r="G985" s="18">
        <f>HYPERLINK("D:\python\英语学习\voices\"&amp;B985&amp;"_1.mp3","BrE")</f>
        <v/>
      </c>
      <c r="H985" s="18">
        <f>HYPERLINK("D:\python\英语学习\voices\"&amp;B985&amp;"_2.mp3","AmE")</f>
        <v/>
      </c>
      <c r="I985" s="18">
        <f>HYPERLINK("http://dict.youdao.com/w/"&amp;B985,"有道")</f>
        <v/>
      </c>
    </row>
    <row customHeight="1" ht="42.75" r="986">
      <c r="B986" s="1" t="inlineStr">
        <is>
          <t>incorporate</t>
        </is>
      </c>
      <c r="C986" s="7">
        <f>"vt. 包含，吸收；体现；把……合并"&amp;CHAR(10)&amp;"vi. 合并；混合；组成公司"&amp;CHAR(10)&amp;"adj. 合并的；一体化的；组成公司的"</f>
        <v/>
      </c>
      <c r="G986" s="18">
        <f>HYPERLINK("D:\python\英语学习\voices\"&amp;B986&amp;"_1.mp3","BrE")</f>
        <v/>
      </c>
      <c r="H986" s="18">
        <f>HYPERLINK("D:\python\英语学习\voices\"&amp;B986&amp;"_2.mp3","AmE")</f>
        <v/>
      </c>
      <c r="I986" s="18">
        <f>HYPERLINK("http://dict.youdao.com/w/"&amp;B986,"有道")</f>
        <v/>
      </c>
    </row>
    <row r="987">
      <c r="B987" s="1" t="inlineStr">
        <is>
          <t>incredible</t>
        </is>
      </c>
      <c r="C987" s="7">
        <f>"adj. 难以置信的，惊人的；极好的"</f>
        <v/>
      </c>
      <c r="G987" s="18">
        <f>HYPERLINK("D:\python\英语学习\voices\"&amp;B987&amp;"_1.mp3","BrE")</f>
        <v/>
      </c>
      <c r="H987" s="18">
        <f>HYPERLINK("D:\python\英语学习\voices\"&amp;B987&amp;"_2.mp3","AmE")</f>
        <v/>
      </c>
      <c r="I987" s="18">
        <f>HYPERLINK("http://dict.youdao.com/w/"&amp;B987,"有道")</f>
        <v/>
      </c>
    </row>
    <row r="988">
      <c r="B988" s="1" t="inlineStr">
        <is>
          <t>incredibly</t>
        </is>
      </c>
      <c r="C988" s="7">
        <f>"adv. 难以置信地；非常地"</f>
        <v/>
      </c>
      <c r="G988" s="18">
        <f>HYPERLINK("D:\python\英语学习\voices\"&amp;B988&amp;"_1.mp3","BrE")</f>
        <v/>
      </c>
      <c r="H988" s="18">
        <f>HYPERLINK("D:\python\英语学习\voices\"&amp;B988&amp;"_2.mp3","AmE")</f>
        <v/>
      </c>
      <c r="I988" s="18">
        <f>HYPERLINK("http://dict.youdao.com/w/"&amp;B988,"有道")</f>
        <v/>
      </c>
    </row>
    <row r="989">
      <c r="B989" s="2" t="inlineStr">
        <is>
          <t>incremental</t>
        </is>
      </c>
      <c r="C989" s="7">
        <f>"adj. 增加的，增值的"</f>
        <v/>
      </c>
      <c r="G989" s="18">
        <f>HYPERLINK("D:\python\英语学习\voices\"&amp;B989&amp;"_1.mp3","BrE")</f>
        <v/>
      </c>
      <c r="H989" s="18">
        <f>HYPERLINK("D:\python\英语学习\voices\"&amp;B989&amp;"_2.mp3","AmE")</f>
        <v/>
      </c>
      <c r="I989" s="18">
        <f>HYPERLINK("http://dict.youdao.com/w/"&amp;B989,"有道")</f>
        <v/>
      </c>
    </row>
    <row customHeight="1" ht="42.75" r="990">
      <c r="B990" s="1" t="inlineStr">
        <is>
          <t>incubate</t>
        </is>
      </c>
      <c r="C990" s="7">
        <f>"vt. 孵化；培养；温育；逐渐发展"&amp;CHAR(10)&amp;"vi. 孵化；酝酿"&amp;CHAR(10)&amp;"n. 孵育物"</f>
        <v/>
      </c>
      <c r="G990" s="18">
        <f>HYPERLINK("D:\python\英语学习\voices\"&amp;B990&amp;"_1.mp3","BrE")</f>
        <v/>
      </c>
      <c r="H990" s="18">
        <f>HYPERLINK("D:\python\英语学习\voices\"&amp;B990&amp;"_2.mp3","AmE")</f>
        <v/>
      </c>
      <c r="I990" s="18">
        <f>HYPERLINK("http://dict.youdao.com/w/"&amp;B990,"有道")</f>
        <v/>
      </c>
    </row>
    <row r="991">
      <c r="B991" s="1" t="inlineStr">
        <is>
          <t>incubation</t>
        </is>
      </c>
      <c r="C991" s="7">
        <f>"n. 孵化；[病毒][医] 潜伏；抱蛋"</f>
        <v/>
      </c>
      <c r="G991" s="18">
        <f>HYPERLINK("D:\python\英语学习\voices\"&amp;B991&amp;"_1.mp3","BrE")</f>
        <v/>
      </c>
      <c r="H991" s="18">
        <f>HYPERLINK("D:\python\英语学习\voices\"&amp;B991&amp;"_2.mp3","AmE")</f>
        <v/>
      </c>
      <c r="I991" s="18">
        <f>HYPERLINK("http://dict.youdao.com/w/"&amp;B991,"有道")</f>
        <v/>
      </c>
    </row>
    <row r="992">
      <c r="B992" s="1" t="inlineStr">
        <is>
          <t>indefinite</t>
        </is>
      </c>
      <c r="C992" s="7">
        <f>"adj. 不确定的；无限的；模糊的"</f>
        <v/>
      </c>
      <c r="E992" s="6" t="inlineStr">
        <is>
          <t>注意拼写-ite</t>
        </is>
      </c>
      <c r="G992" s="18">
        <f>HYPERLINK("D:\python\英语学习\voices\"&amp;B992&amp;"_1.mp3","BrE")</f>
        <v/>
      </c>
      <c r="H992" s="18">
        <f>HYPERLINK("D:\python\英语学习\voices\"&amp;B992&amp;"_2.mp3","AmE")</f>
        <v/>
      </c>
      <c r="I992" s="18">
        <f>HYPERLINK("http://dict.youdao.com/w/"&amp;B992,"有道")</f>
        <v/>
      </c>
    </row>
    <row customHeight="1" ht="28.5" r="993">
      <c r="B993" s="1" t="inlineStr">
        <is>
          <t>indented</t>
        </is>
      </c>
      <c r="C993" s="7">
        <f>"adj. 犬牙交错的；受契约约束的；缩进排印的"&amp;CHAR(10)&amp;"v. 缩进；切割成锯齿状（indent的过去分词）"</f>
        <v/>
      </c>
      <c r="G993" s="18">
        <f>HYPERLINK("D:\python\英语学习\voices\"&amp;B993&amp;"_1.mp3","BrE")</f>
        <v/>
      </c>
      <c r="H993" s="18">
        <f>HYPERLINK("D:\python\英语学习\voices\"&amp;B993&amp;"_2.mp3","AmE")</f>
        <v/>
      </c>
      <c r="I993" s="18">
        <f>HYPERLINK("http://dict.youdao.com/w/"&amp;B993,"有道")</f>
        <v/>
      </c>
    </row>
    <row customHeight="1" ht="28.5" r="994">
      <c r="B994" s="1" t="inlineStr">
        <is>
          <t>indicative</t>
        </is>
      </c>
      <c r="C994" s="7">
        <f>"adj. 象征的；指示的；表示…的"&amp;CHAR(10)&amp;"n. 陈述语气；陈述语气的动词形式"</f>
        <v/>
      </c>
      <c r="G994" s="18">
        <f>HYPERLINK("D:\python\英语学习\voices\"&amp;B994&amp;"_1.mp3","BrE")</f>
        <v/>
      </c>
      <c r="H994" s="18">
        <f>HYPERLINK("D:\python\英语学习\voices\"&amp;B994&amp;"_2.mp3","AmE")</f>
        <v/>
      </c>
      <c r="I994" s="18">
        <f>HYPERLINK("http://dict.youdao.com/w/"&amp;B994,"有道")</f>
        <v/>
      </c>
    </row>
    <row customHeight="1" ht="28.5" r="995">
      <c r="B995" s="1" t="inlineStr">
        <is>
          <t>indifferent</t>
        </is>
      </c>
      <c r="C995" s="7">
        <f>"adj. 漠不关心的；无关紧要的；中性的，中立的"</f>
        <v/>
      </c>
      <c r="G995" s="18">
        <f>HYPERLINK("D:\python\英语学习\voices\"&amp;B995&amp;"_1.mp3","BrE")</f>
        <v/>
      </c>
      <c r="H995" s="18">
        <f>HYPERLINK("D:\python\英语学习\voices\"&amp;B995&amp;"_2.mp3","AmE")</f>
        <v/>
      </c>
      <c r="I995" s="18">
        <f>HYPERLINK("http://dict.youdao.com/w/"&amp;B995,"有道")</f>
        <v/>
      </c>
    </row>
    <row r="996">
      <c r="A996" t="inlineStr">
        <is>
          <t>important</t>
        </is>
      </c>
      <c r="B996" s="1" t="inlineStr">
        <is>
          <t>prevalent</t>
        </is>
      </c>
      <c r="C996" s="17">
        <f>"adj. 流行的；普遍的，广传的"</f>
        <v/>
      </c>
    </row>
    <row customHeight="1" ht="28.5" r="997">
      <c r="A997" t="inlineStr">
        <is>
          <t>practice</t>
        </is>
      </c>
      <c r="B997" s="1" t="inlineStr">
        <is>
          <t>acclaim</t>
        </is>
      </c>
      <c r="C997" s="7">
        <f>"vt. 称赞；为…喝彩，向…欢呼"&amp;CHAR(10)&amp;"n. 欢呼，喝彩；称赞"&amp;CHAR(10)&amp;"vi. 欢呼，喝彩"</f>
        <v/>
      </c>
      <c r="G997" s="18">
        <f>HYPERLINK("D:\python\英语学习\voices\"&amp;B997&amp;"_1.mp3","BrE")</f>
        <v/>
      </c>
      <c r="H997" s="18">
        <f>HYPERLINK("D:\python\英语学习\voices\"&amp;B997&amp;"_2.mp3","AmE")</f>
        <v/>
      </c>
      <c r="I997" s="18">
        <f>HYPERLINK("http://dict.youdao.com/w/"&amp;B997,"有道")</f>
        <v/>
      </c>
    </row>
    <row r="998">
      <c r="B998" s="1" t="inlineStr">
        <is>
          <t>induce</t>
        </is>
      </c>
      <c r="C998" s="7">
        <f>"vt. 诱导；引起；引诱；感应"</f>
        <v/>
      </c>
      <c r="G998" s="18">
        <f>HYPERLINK("D:\python\英语学习\voices\"&amp;B998&amp;"_1.mp3","BrE")</f>
        <v/>
      </c>
      <c r="H998" s="18">
        <f>HYPERLINK("D:\python\英语学习\voices\"&amp;B998&amp;"_2.mp3","AmE")</f>
        <v/>
      </c>
      <c r="I998" s="18">
        <f>HYPERLINK("http://dict.youdao.com/w/"&amp;B998,"有道")</f>
        <v/>
      </c>
    </row>
    <row customHeight="1" ht="28.5" r="999">
      <c r="B999" s="1" t="inlineStr">
        <is>
          <t>induction</t>
        </is>
      </c>
      <c r="C999" s="7">
        <f>"n. [电磁] 感应；归纳法；感应现象；入门培训，入职仪式，就职；诱导"</f>
        <v/>
      </c>
      <c r="G999" s="18">
        <f>HYPERLINK("D:\python\英语学习\voices\"&amp;B999&amp;"_1.mp3","BrE")</f>
        <v/>
      </c>
      <c r="H999" s="18">
        <f>HYPERLINK("D:\python\英语学习\voices\"&amp;B999&amp;"_2.mp3","AmE")</f>
        <v/>
      </c>
      <c r="I999" s="18">
        <f>HYPERLINK("http://dict.youdao.com/w/"&amp;B999,"有道")</f>
        <v/>
      </c>
    </row>
    <row customHeight="1" ht="28.5" r="1000">
      <c r="B1000" s="1" t="inlineStr">
        <is>
          <t>indulge</t>
        </is>
      </c>
      <c r="C1000" s="7">
        <f>"vt. 满足；纵容；使高兴；使沉迷于…"&amp;CHAR(10)&amp;"vi. 沉溺；满足；放任"</f>
        <v/>
      </c>
      <c r="G1000" s="18">
        <f>HYPERLINK("D:\python\英语学习\voices\"&amp;B1000&amp;"_1.mp3","BrE")</f>
        <v/>
      </c>
      <c r="H1000" s="18">
        <f>HYPERLINK("D:\python\英语学习\voices\"&amp;B1000&amp;"_2.mp3","AmE")</f>
        <v/>
      </c>
      <c r="I1000" s="18">
        <f>HYPERLINK("http://dict.youdao.com/w/"&amp;B1000,"有道")</f>
        <v/>
      </c>
    </row>
    <row r="1001">
      <c r="B1001" s="1" t="inlineStr">
        <is>
          <t>industrious</t>
        </is>
      </c>
      <c r="C1001" s="7">
        <f>"adj. 勤勉的"</f>
        <v/>
      </c>
      <c r="G1001" s="18">
        <f>HYPERLINK("D:\python\英语学习\voices\"&amp;B1001&amp;"_1.mp3","BrE")</f>
        <v/>
      </c>
      <c r="H1001" s="18">
        <f>HYPERLINK("D:\python\英语学习\voices\"&amp;B1001&amp;"_2.mp3","AmE")</f>
        <v/>
      </c>
      <c r="I1001" s="18">
        <f>HYPERLINK("http://dict.youdao.com/w/"&amp;B1001,"有道")</f>
        <v/>
      </c>
    </row>
    <row r="1002">
      <c r="B1002" s="1" t="inlineStr">
        <is>
          <t>inefficient</t>
        </is>
      </c>
      <c r="C1002" s="7">
        <f>"adj. 无效率的，效率低的；无能的"</f>
        <v/>
      </c>
      <c r="G1002" s="18">
        <f>HYPERLINK("D:\python\英语学习\voices\"&amp;B1002&amp;"_1.mp3","BrE")</f>
        <v/>
      </c>
      <c r="H1002" s="18">
        <f>HYPERLINK("D:\python\英语学习\voices\"&amp;B1002&amp;"_2.mp3","AmE")</f>
        <v/>
      </c>
      <c r="I1002" s="18">
        <f>HYPERLINK("http://dict.youdao.com/w/"&amp;B1002,"有道")</f>
        <v/>
      </c>
    </row>
    <row r="1003">
      <c r="B1003" s="1" t="inlineStr">
        <is>
          <t>inertia</t>
        </is>
      </c>
      <c r="C1003" s="7">
        <f>"n. [力] 惯性；惰性，迟钝；不活动"</f>
        <v/>
      </c>
      <c r="G1003" s="18">
        <f>HYPERLINK("D:\python\英语学习\voices\"&amp;B1003&amp;"_1.mp3","BrE")</f>
        <v/>
      </c>
      <c r="H1003" s="18">
        <f>HYPERLINK("D:\python\英语学习\voices\"&amp;B1003&amp;"_2.mp3","AmE")</f>
        <v/>
      </c>
      <c r="I1003" s="18">
        <f>HYPERLINK("http://dict.youdao.com/w/"&amp;B1003,"有道")</f>
        <v/>
      </c>
    </row>
    <row r="1004">
      <c r="B1004" s="1" t="inlineStr">
        <is>
          <t>inexperience</t>
        </is>
      </c>
      <c r="C1004" s="7">
        <f>"n. 缺乏经验；无经验；不熟练"</f>
        <v/>
      </c>
      <c r="G1004" s="18">
        <f>HYPERLINK("D:\python\英语学习\voices\"&amp;B1004&amp;"_1.mp3","BrE")</f>
        <v/>
      </c>
      <c r="H1004" s="18">
        <f>HYPERLINK("D:\python\英语学习\voices\"&amp;B1004&amp;"_2.mp3","AmE")</f>
        <v/>
      </c>
      <c r="I1004" s="18">
        <f>HYPERLINK("http://dict.youdao.com/w/"&amp;B1004,"有道")</f>
        <v/>
      </c>
    </row>
    <row r="1005">
      <c r="B1005" s="1" t="inlineStr">
        <is>
          <t>infancy</t>
        </is>
      </c>
      <c r="C1005" s="7">
        <f>"n. 初期；婴儿期；幼年"</f>
        <v/>
      </c>
      <c r="G1005" s="18">
        <f>HYPERLINK("D:\python\英语学习\voices\"&amp;B1005&amp;"_1.mp3","BrE")</f>
        <v/>
      </c>
      <c r="H1005" s="18">
        <f>HYPERLINK("D:\python\英语学习\voices\"&amp;B1005&amp;"_2.mp3","AmE")</f>
        <v/>
      </c>
      <c r="I1005" s="18">
        <f>HYPERLINK("http://dict.youdao.com/w/"&amp;B1005,"有道")</f>
        <v/>
      </c>
    </row>
    <row customHeight="1" ht="28.5" r="1006">
      <c r="B1006" s="1" t="inlineStr">
        <is>
          <t>infer</t>
        </is>
      </c>
      <c r="C1006" s="7">
        <f>"vt. 推断；推论"&amp;CHAR(10)&amp;"vi. 推断；作出推论"</f>
        <v/>
      </c>
      <c r="G1006" s="18">
        <f>HYPERLINK("D:\python\英语学习\voices\"&amp;B1006&amp;"_1.mp3","BrE")</f>
        <v/>
      </c>
      <c r="H1006" s="18">
        <f>HYPERLINK("D:\python\英语学习\voices\"&amp;B1006&amp;"_2.mp3","AmE")</f>
        <v/>
      </c>
      <c r="I1006" s="18">
        <f>HYPERLINK("http://dict.youdao.com/w/"&amp;B1006,"有道")</f>
        <v/>
      </c>
    </row>
    <row r="1007">
      <c r="B1007" s="1" t="inlineStr">
        <is>
          <t>inference</t>
        </is>
      </c>
      <c r="C1007" s="7">
        <f>"n. 推理；推论；推断"</f>
        <v/>
      </c>
      <c r="G1007" s="18">
        <f>HYPERLINK("D:\python\英语学习\voices\"&amp;B1007&amp;"_1.mp3","BrE")</f>
        <v/>
      </c>
      <c r="H1007" s="18">
        <f>HYPERLINK("D:\python\英语学习\voices\"&amp;B1007&amp;"_2.mp3","AmE")</f>
        <v/>
      </c>
      <c r="I1007" s="18">
        <f>HYPERLINK("http://dict.youdao.com/w/"&amp;B1007,"有道")</f>
        <v/>
      </c>
    </row>
    <row customHeight="1" ht="28.5" r="1008">
      <c r="A1008" s="1" t="inlineStr">
        <is>
          <t>practice</t>
        </is>
      </c>
      <c r="B1008" s="1" t="inlineStr">
        <is>
          <t>adorn</t>
        </is>
      </c>
      <c r="C1008" s="7">
        <f>"vt. 装饰；使生色"&amp;CHAR(10)&amp;"n. (Adorn)人名；(泰)阿隆"</f>
        <v/>
      </c>
      <c r="G1008" s="18">
        <f>HYPERLINK("D:\python\英语学习\voices\"&amp;B1008&amp;"_1.mp3","BrE")</f>
        <v/>
      </c>
      <c r="H1008" s="18">
        <f>HYPERLINK("D:\python\英语学习\voices\"&amp;B1008&amp;"_2.mp3","AmE")</f>
        <v/>
      </c>
      <c r="I1008" s="18">
        <f>HYPERLINK("http://dict.youdao.com/w/"&amp;B1008,"有道")</f>
        <v/>
      </c>
    </row>
    <row r="1009">
      <c r="B1009" s="1" t="inlineStr">
        <is>
          <t>inflammation</t>
        </is>
      </c>
      <c r="C1009" s="7">
        <f>"n. [病理] 炎症；[医] 发炎；燃烧；发火"</f>
        <v/>
      </c>
      <c r="G1009" s="18">
        <f>HYPERLINK("D:\python\英语学习\voices\"&amp;B1009&amp;"_1.mp3","BrE")</f>
        <v/>
      </c>
      <c r="H1009" s="18">
        <f>HYPERLINK("D:\python\英语学习\voices\"&amp;B1009&amp;"_2.mp3","AmE")</f>
        <v/>
      </c>
      <c r="I1009" s="18">
        <f>HYPERLINK("http://dict.youdao.com/w/"&amp;B1009,"有道")</f>
        <v/>
      </c>
    </row>
    <row r="1010">
      <c r="B1010" s="1" t="inlineStr">
        <is>
          <t>inflammatory</t>
        </is>
      </c>
      <c r="C1010" s="7">
        <f>"adj. 炎症性的；煽动性的；激动的"</f>
        <v/>
      </c>
      <c r="G1010" s="18">
        <f>HYPERLINK("D:\python\英语学习\voices\"&amp;B1010&amp;"_1.mp3","BrE")</f>
        <v/>
      </c>
      <c r="H1010" s="18">
        <f>HYPERLINK("D:\python\英语学习\voices\"&amp;B1010&amp;"_2.mp3","AmE")</f>
        <v/>
      </c>
      <c r="I1010" s="18">
        <f>HYPERLINK("http://dict.youdao.com/w/"&amp;B1010,"有道")</f>
        <v/>
      </c>
    </row>
    <row customHeight="1" ht="28.5" r="1011">
      <c r="B1011" s="1" t="inlineStr">
        <is>
          <t>inflate</t>
        </is>
      </c>
      <c r="C1011" s="7">
        <f>"vt. 使充气；使通货膨胀"&amp;CHAR(10)&amp;"vi. 膨胀；充气"</f>
        <v/>
      </c>
      <c r="G1011" s="18">
        <f>HYPERLINK("D:\python\英语学习\voices\"&amp;B1011&amp;"_1.mp3","BrE")</f>
        <v/>
      </c>
      <c r="H1011" s="18">
        <f>HYPERLINK("D:\python\英语学习\voices\"&amp;B1011&amp;"_2.mp3","AmE")</f>
        <v/>
      </c>
      <c r="I1011" s="18">
        <f>HYPERLINK("http://dict.youdao.com/w/"&amp;B1011,"有道")</f>
        <v/>
      </c>
    </row>
    <row r="1012">
      <c r="A1012" s="1" t="inlineStr">
        <is>
          <t>practice</t>
        </is>
      </c>
      <c r="B1012" s="1" t="inlineStr">
        <is>
          <t>aggravate</t>
        </is>
      </c>
      <c r="C1012" s="7">
        <f>"vt. 加重；使恶化；激怒"</f>
        <v/>
      </c>
      <c r="E1012" s="10" t="inlineStr">
        <is>
          <t>=deteriorate;worsen</t>
        </is>
      </c>
      <c r="G1012" s="18">
        <f>HYPERLINK("D:\python\英语学习\voices\"&amp;B1012&amp;"_1.mp3","BrE")</f>
        <v/>
      </c>
      <c r="H1012" s="18">
        <f>HYPERLINK("D:\python\英语学习\voices\"&amp;B1012&amp;"_2.mp3","AmE")</f>
        <v/>
      </c>
      <c r="I1012" s="18">
        <f>HYPERLINK("http://dict.youdao.com/w/"&amp;B1012,"有道")</f>
        <v/>
      </c>
    </row>
    <row r="1013">
      <c r="B1013" s="1" t="inlineStr">
        <is>
          <t>inflection</t>
        </is>
      </c>
      <c r="C1013" s="7">
        <f>"n. 弯曲，变形；音调变化"</f>
        <v/>
      </c>
      <c r="G1013" s="18">
        <f>HYPERLINK("D:\python\英语学习\voices\"&amp;B1013&amp;"_1.mp3","BrE")</f>
        <v/>
      </c>
      <c r="H1013" s="18">
        <f>HYPERLINK("D:\python\英语学习\voices\"&amp;B1013&amp;"_2.mp3","AmE")</f>
        <v/>
      </c>
      <c r="I1013" s="18">
        <f>HYPERLINK("http://dict.youdao.com/w/"&amp;B1013,"有道")</f>
        <v/>
      </c>
    </row>
    <row r="1014">
      <c r="B1014" s="1" t="inlineStr">
        <is>
          <t>influx</t>
        </is>
      </c>
      <c r="C1014" s="7">
        <f>"n. 流入；汇集；河流的汇集处"</f>
        <v/>
      </c>
      <c r="G1014" s="18">
        <f>HYPERLINK("D:\python\英语学习\voices\"&amp;B1014&amp;"_1.mp3","BrE")</f>
        <v/>
      </c>
      <c r="H1014" s="18">
        <f>HYPERLINK("D:\python\英语学习\voices\"&amp;B1014&amp;"_2.mp3","AmE")</f>
        <v/>
      </c>
      <c r="I1014" s="18">
        <f>HYPERLINK("http://dict.youdao.com/w/"&amp;B1014,"有道")</f>
        <v/>
      </c>
    </row>
    <row customHeight="1" ht="29.1" r="1015">
      <c r="B1015" s="1" t="inlineStr">
        <is>
          <t>informative</t>
        </is>
      </c>
      <c r="C1015" s="7">
        <f>"adj. 教育性的，有益的；情报的；见闻广博的"</f>
        <v/>
      </c>
      <c r="G1015" s="18">
        <f>HYPERLINK("D:\python\英语学习\voices\"&amp;B1015&amp;"_1.mp3","BrE")</f>
        <v/>
      </c>
      <c r="H1015" s="18">
        <f>HYPERLINK("D:\python\英语学习\voices\"&amp;B1015&amp;"_2.mp3","AmE")</f>
        <v/>
      </c>
      <c r="I1015" s="18">
        <f>HYPERLINK("http://dict.youdao.com/w/"&amp;B1015,"有道")</f>
        <v/>
      </c>
    </row>
    <row customHeight="1" ht="28.5" r="1016">
      <c r="B1016" s="1" t="inlineStr">
        <is>
          <t>infrared</t>
        </is>
      </c>
      <c r="C1016" s="7">
        <f>"n. 红外线"&amp;CHAR(10)&amp;"adj. 红外线的"</f>
        <v/>
      </c>
      <c r="G1016" s="18">
        <f>HYPERLINK("D:\python\英语学习\voices\"&amp;B1016&amp;"_1.mp3","BrE")</f>
        <v/>
      </c>
      <c r="H1016" s="18">
        <f>HYPERLINK("D:\python\英语学习\voices\"&amp;B1016&amp;"_2.mp3","AmE")</f>
        <v/>
      </c>
      <c r="I1016" s="18">
        <f>HYPERLINK("http://dict.youdao.com/w/"&amp;B1016,"有道")</f>
        <v/>
      </c>
    </row>
    <row r="1017">
      <c r="B1017" s="1" t="inlineStr">
        <is>
          <t>infrastructure</t>
        </is>
      </c>
      <c r="C1017" s="7">
        <f>"n. 基础设施；公共建设；下部构造"</f>
        <v/>
      </c>
      <c r="G1017" s="18">
        <f>HYPERLINK("D:\python\英语学习\voices\"&amp;B1017&amp;"_1.mp3","BrE")</f>
        <v/>
      </c>
      <c r="H1017" s="18">
        <f>HYPERLINK("D:\python\英语学习\voices\"&amp;B1017&amp;"_2.mp3","AmE")</f>
        <v/>
      </c>
      <c r="I1017" s="18">
        <f>HYPERLINK("http://dict.youdao.com/w/"&amp;B1017,"有道")</f>
        <v/>
      </c>
    </row>
    <row customHeight="1" ht="28.5" r="1018">
      <c r="A1018" s="1" t="inlineStr">
        <is>
          <t>practice</t>
        </is>
      </c>
      <c r="B1018" s="1" t="inlineStr">
        <is>
          <t>aggregate</t>
        </is>
      </c>
      <c r="C1018" s="7">
        <f>"vi. 集合；聚集；合计"&amp;CHAR(10)&amp;"vt. 集合；聚集；合计"&amp;CHAR(10)&amp;"n. 合计；集合体；总计"&amp;CHAR(10)&amp;"adj. 聚合的；集合的；合计的"</f>
        <v/>
      </c>
      <c r="G1018" s="18">
        <f>HYPERLINK("D:\python\英语学习\voices\"&amp;B1018&amp;"_1.mp3","BrE")</f>
        <v/>
      </c>
      <c r="H1018" s="18">
        <f>HYPERLINK("D:\python\英语学习\voices\"&amp;B1018&amp;"_2.mp3","AmE")</f>
        <v/>
      </c>
      <c r="I1018" s="18">
        <f>HYPERLINK("http://dict.youdao.com/w/"&amp;B1018,"有道")</f>
        <v/>
      </c>
    </row>
    <row r="1019">
      <c r="B1019" s="1" t="inlineStr">
        <is>
          <t>ingot</t>
        </is>
      </c>
      <c r="C1019" s="7">
        <f>"n. 锭；铸块"</f>
        <v/>
      </c>
      <c r="G1019" s="18">
        <f>HYPERLINK("D:\python\英语学习\voices\"&amp;B1019&amp;"_1.mp3","BrE")</f>
        <v/>
      </c>
      <c r="H1019" s="18">
        <f>HYPERLINK("D:\python\英语学习\voices\"&amp;B1019&amp;"_2.mp3","AmE")</f>
        <v/>
      </c>
      <c r="I1019" s="18">
        <f>HYPERLINK("http://dict.youdao.com/w/"&amp;B1019,"有道")</f>
        <v/>
      </c>
    </row>
    <row r="1020">
      <c r="B1020" s="1" t="inlineStr">
        <is>
          <t>inhabitant</t>
        </is>
      </c>
      <c r="C1020" s="7">
        <f>"n. 居民；居住者"</f>
        <v/>
      </c>
      <c r="G1020" s="18">
        <f>HYPERLINK("D:\python\英语学习\voices\"&amp;B1020&amp;"_1.mp3","BrE")</f>
        <v/>
      </c>
      <c r="H1020" s="18">
        <f>HYPERLINK("D:\python\英语学习\voices\"&amp;B1020&amp;"_2.mp3","AmE")</f>
        <v/>
      </c>
      <c r="I1020" s="18">
        <f>HYPERLINK("http://dict.youdao.com/w/"&amp;B1020,"有道")</f>
        <v/>
      </c>
    </row>
    <row r="1021">
      <c r="B1021" s="1" t="inlineStr">
        <is>
          <t>inherently</t>
        </is>
      </c>
      <c r="C1021" s="7">
        <f>"adv. 内在地；固有地；天性地"</f>
        <v/>
      </c>
      <c r="G1021" s="18">
        <f>HYPERLINK("D:\python\英语学习\voices\"&amp;B1021&amp;"_1.mp3","BrE")</f>
        <v/>
      </c>
      <c r="H1021" s="18">
        <f>HYPERLINK("D:\python\英语学习\voices\"&amp;B1021&amp;"_2.mp3","AmE")</f>
        <v/>
      </c>
      <c r="I1021" s="18">
        <f>HYPERLINK("http://dict.youdao.com/w/"&amp;B1021,"有道")</f>
        <v/>
      </c>
    </row>
    <row r="1022">
      <c r="B1022" s="1" t="inlineStr">
        <is>
          <t>inhibit</t>
        </is>
      </c>
      <c r="C1022" s="7">
        <f>"vt. 抑制；禁止"</f>
        <v/>
      </c>
      <c r="E1022" s="6" t="inlineStr">
        <is>
          <t>inhabit栖息</t>
        </is>
      </c>
      <c r="G1022" s="18">
        <f>HYPERLINK("D:\python\英语学习\voices\"&amp;B1022&amp;"_1.mp3","BrE")</f>
        <v/>
      </c>
      <c r="H1022" s="18">
        <f>HYPERLINK("D:\python\英语学习\voices\"&amp;B1022&amp;"_2.mp3","AmE")</f>
        <v/>
      </c>
      <c r="I1022" s="18">
        <f>HYPERLINK("http://dict.youdao.com/w/"&amp;B1022,"有道")</f>
        <v/>
      </c>
    </row>
    <row r="1023">
      <c r="B1023" s="1" t="inlineStr">
        <is>
          <t>inhibition</t>
        </is>
      </c>
      <c r="C1023" s="7">
        <f>"n. 抑制；压抑；禁止"</f>
        <v/>
      </c>
      <c r="G1023" s="18">
        <f>HYPERLINK("D:\python\英语学习\voices\"&amp;B1023&amp;"_1.mp3","BrE")</f>
        <v/>
      </c>
      <c r="H1023" s="18">
        <f>HYPERLINK("D:\python\英语学习\voices\"&amp;B1023&amp;"_2.mp3","AmE")</f>
        <v/>
      </c>
      <c r="I1023" s="18">
        <f>HYPERLINK("http://dict.youdao.com/w/"&amp;B1023,"有道")</f>
        <v/>
      </c>
    </row>
    <row r="1024">
      <c r="B1024" s="1" t="inlineStr">
        <is>
          <t>inhibitor</t>
        </is>
      </c>
      <c r="C1024" s="7">
        <f>"n. [助剂] 抑制剂，抗化剂；抑制者"</f>
        <v/>
      </c>
      <c r="G1024" s="18">
        <f>HYPERLINK("D:\python\英语学习\voices\"&amp;B1024&amp;"_1.mp3","BrE")</f>
        <v/>
      </c>
      <c r="H1024" s="18">
        <f>HYPERLINK("D:\python\英语学习\voices\"&amp;B1024&amp;"_2.mp3","AmE")</f>
        <v/>
      </c>
      <c r="I1024" s="18">
        <f>HYPERLINK("http://dict.youdao.com/w/"&amp;B1024,"有道")</f>
        <v/>
      </c>
    </row>
    <row customHeight="1" ht="28.5" r="1025">
      <c r="B1025" s="1" t="inlineStr">
        <is>
          <t>initiative</t>
        </is>
      </c>
      <c r="C1025" s="7">
        <f>"n. 主动权；首创精神；新方案；倡议"&amp;CHAR(10)&amp;"adj. 主动的；自发的；起始的"</f>
        <v/>
      </c>
      <c r="G1025" s="18">
        <f>HYPERLINK("D:\python\英语学习\voices\"&amp;B1025&amp;"_1.mp3","BrE")</f>
        <v/>
      </c>
      <c r="H1025" s="18">
        <f>HYPERLINK("D:\python\英语学习\voices\"&amp;B1025&amp;"_2.mp3","AmE")</f>
        <v/>
      </c>
      <c r="I1025" s="18">
        <f>HYPERLINK("http://dict.youdao.com/w/"&amp;B1025,"有道")</f>
        <v/>
      </c>
    </row>
    <row r="1026">
      <c r="B1026" s="1" t="inlineStr">
        <is>
          <t>injunction</t>
        </is>
      </c>
      <c r="C1026" s="7">
        <f>"n. [管理] 禁令；命令；劝告"</f>
        <v/>
      </c>
      <c r="G1026" s="18">
        <f>HYPERLINK("D:\python\英语学习\voices\"&amp;B1026&amp;"_1.mp3","BrE")</f>
        <v/>
      </c>
      <c r="H1026" s="18">
        <f>HYPERLINK("D:\python\英语学习\voices\"&amp;B1026&amp;"_2.mp3","AmE")</f>
        <v/>
      </c>
      <c r="I1026" s="18">
        <f>HYPERLINK("http://dict.youdao.com/w/"&amp;B1026,"有道")</f>
        <v/>
      </c>
    </row>
    <row customHeight="1" ht="42.75" r="1027">
      <c r="B1027" s="1" t="inlineStr">
        <is>
          <t>inland</t>
        </is>
      </c>
      <c r="C1027" s="7">
        <f>"n. 内地；内陆"&amp;CHAR(10)&amp;"adj. 内陆的；内地的；国内的"&amp;CHAR(10)&amp;"adv. 在内地；向内地；向内陆；在内陆"</f>
        <v/>
      </c>
      <c r="G1027" s="18">
        <f>HYPERLINK("D:\python\英语学习\voices\"&amp;B1027&amp;"_1.mp3","BrE")</f>
        <v/>
      </c>
      <c r="H1027" s="18">
        <f>HYPERLINK("D:\python\英语学习\voices\"&amp;B1027&amp;"_2.mp3","AmE")</f>
        <v/>
      </c>
      <c r="I1027" s="18">
        <f>HYPERLINK("http://dict.youdao.com/w/"&amp;B1027,"有道")</f>
        <v/>
      </c>
    </row>
    <row customHeight="1" ht="28.5" r="1028">
      <c r="B1028" s="1" t="inlineStr">
        <is>
          <t>inlet</t>
        </is>
      </c>
      <c r="C1028" s="7">
        <f>"n. 入口，进口；插入物；水湾"&amp;CHAR(10)&amp;"v. 引进; 嵌入; 插入;"</f>
        <v/>
      </c>
      <c r="G1028" s="18">
        <f>HYPERLINK("D:\python\英语学习\voices\"&amp;B1028&amp;"_1.mp3","BrE")</f>
        <v/>
      </c>
      <c r="H1028" s="18">
        <f>HYPERLINK("D:\python\英语学习\voices\"&amp;B1028&amp;"_2.mp3","AmE")</f>
        <v/>
      </c>
      <c r="I1028" s="18">
        <f>HYPERLINK("http://dict.youdao.com/w/"&amp;B1028,"有道")</f>
        <v/>
      </c>
    </row>
    <row r="1029">
      <c r="B1029" s="1" t="inlineStr">
        <is>
          <t>innate</t>
        </is>
      </c>
      <c r="C1029" s="7">
        <f>"adj. 先天的；固有的；与生俱来的"</f>
        <v/>
      </c>
      <c r="G1029" s="18">
        <f>HYPERLINK("D:\python\英语学习\voices\"&amp;B1029&amp;"_1.mp3","BrE")</f>
        <v/>
      </c>
      <c r="H1029" s="18">
        <f>HYPERLINK("D:\python\英语学习\voices\"&amp;B1029&amp;"_2.mp3","AmE")</f>
        <v/>
      </c>
      <c r="I1029" s="18">
        <f>HYPERLINK("http://dict.youdao.com/w/"&amp;B1029,"有道")</f>
        <v/>
      </c>
    </row>
    <row r="1030">
      <c r="B1030" s="1" t="inlineStr">
        <is>
          <t>innovation</t>
        </is>
      </c>
      <c r="C1030" s="7">
        <f>"n. 创新，革新；新方法"</f>
        <v/>
      </c>
      <c r="G1030" s="18">
        <f>HYPERLINK("D:\python\英语学习\voices\"&amp;B1030&amp;"_1.mp3","BrE")</f>
        <v/>
      </c>
      <c r="H1030" s="18">
        <f>HYPERLINK("D:\python\英语学习\voices\"&amp;B1030&amp;"_2.mp3","AmE")</f>
        <v/>
      </c>
      <c r="I1030" s="18">
        <f>HYPERLINK("http://dict.youdao.com/w/"&amp;B1030,"有道")</f>
        <v/>
      </c>
    </row>
    <row r="1031">
      <c r="B1031" s="1" t="inlineStr">
        <is>
          <t>innumerable</t>
        </is>
      </c>
      <c r="C1031" s="7">
        <f>"adj. 无数的，数不清的"</f>
        <v/>
      </c>
      <c r="G1031" s="18">
        <f>HYPERLINK("D:\python\英语学习\voices\"&amp;B1031&amp;"_1.mp3","BrE")</f>
        <v/>
      </c>
      <c r="H1031" s="18">
        <f>HYPERLINK("D:\python\英语学习\voices\"&amp;B1031&amp;"_2.mp3","AmE")</f>
        <v/>
      </c>
      <c r="I1031" s="18">
        <f>HYPERLINK("http://dict.youdao.com/w/"&amp;B1031,"有道")</f>
        <v/>
      </c>
    </row>
    <row r="1032">
      <c r="B1032" s="1" t="inlineStr">
        <is>
          <t>inorganic</t>
        </is>
      </c>
      <c r="C1032" s="7">
        <f>"adj. [无化] 无机的；无生物的"</f>
        <v/>
      </c>
      <c r="G1032" s="18">
        <f>HYPERLINK("D:\python\英语学习\voices\"&amp;B1032&amp;"_1.mp3","BrE")</f>
        <v/>
      </c>
      <c r="H1032" s="18">
        <f>HYPERLINK("D:\python\英语学习\voices\"&amp;B1032&amp;"_2.mp3","AmE")</f>
        <v/>
      </c>
      <c r="I1032" s="18">
        <f>HYPERLINK("http://dict.youdao.com/w/"&amp;B1032,"有道")</f>
        <v/>
      </c>
    </row>
    <row r="1033">
      <c r="B1033" s="1" t="inlineStr">
        <is>
          <t>inscribe</t>
        </is>
      </c>
      <c r="C1033" s="7">
        <f>"vt. 题写；题献；铭记；雕"</f>
        <v/>
      </c>
      <c r="G1033" s="18">
        <f>HYPERLINK("D:\python\英语学习\voices\"&amp;B1033&amp;"_1.mp3","BrE")</f>
        <v/>
      </c>
      <c r="H1033" s="18">
        <f>HYPERLINK("D:\python\英语学习\voices\"&amp;B1033&amp;"_2.mp3","AmE")</f>
        <v/>
      </c>
      <c r="I1033" s="18">
        <f>HYPERLINK("http://dict.youdao.com/w/"&amp;B1033,"有道")</f>
        <v/>
      </c>
    </row>
    <row r="1034">
      <c r="B1034" s="1" t="inlineStr">
        <is>
          <t>inscription</t>
        </is>
      </c>
      <c r="C1034" s="7">
        <f>"n. 题词；铭文；刻印"</f>
        <v/>
      </c>
      <c r="G1034" s="18">
        <f>HYPERLINK("D:\python\英语学习\voices\"&amp;B1034&amp;"_1.mp3","BrE")</f>
        <v/>
      </c>
      <c r="H1034" s="18">
        <f>HYPERLINK("D:\python\英语学习\voices\"&amp;B1034&amp;"_2.mp3","AmE")</f>
        <v/>
      </c>
      <c r="I1034" s="18">
        <f>HYPERLINK("http://dict.youdao.com/w/"&amp;B1034,"有道")</f>
        <v/>
      </c>
    </row>
    <row r="1035">
      <c r="B1035" s="1" t="inlineStr">
        <is>
          <t>insecure</t>
        </is>
      </c>
      <c r="C1035" s="7">
        <f>"adj. 不安全的；不稳定的；不牢靠的"</f>
        <v/>
      </c>
      <c r="G1035" s="18">
        <f>HYPERLINK("D:\python\英语学习\voices\"&amp;B1035&amp;"_1.mp3","BrE")</f>
        <v/>
      </c>
      <c r="H1035" s="18">
        <f>HYPERLINK("D:\python\英语学习\voices\"&amp;B1035&amp;"_2.mp3","AmE")</f>
        <v/>
      </c>
      <c r="I1035" s="18">
        <f>HYPERLINK("http://dict.youdao.com/w/"&amp;B1035,"有道")</f>
        <v/>
      </c>
    </row>
    <row customHeight="1" ht="28.5" r="1036">
      <c r="B1036" s="1" t="inlineStr">
        <is>
          <t>insight</t>
        </is>
      </c>
      <c r="C1036" s="7">
        <f>"n. 洞察力；洞悉"&amp;CHAR(10)&amp;"n. (Insight)人名；(英)因赛特"</f>
        <v/>
      </c>
      <c r="G1036" s="18">
        <f>HYPERLINK("D:\python\英语学习\voices\"&amp;B1036&amp;"_1.mp3","BrE")</f>
        <v/>
      </c>
      <c r="H1036" s="18">
        <f>HYPERLINK("D:\python\英语学习\voices\"&amp;B1036&amp;"_2.mp3","AmE")</f>
        <v/>
      </c>
      <c r="I1036" s="18">
        <f>HYPERLINK("http://dict.youdao.com/w/"&amp;B1036,"有道")</f>
        <v/>
      </c>
    </row>
    <row r="1037">
      <c r="B1037" s="1" t="inlineStr">
        <is>
          <t>insistence</t>
        </is>
      </c>
      <c r="C1037" s="7">
        <f>"n. 坚持，强调；坚决主张"</f>
        <v/>
      </c>
      <c r="E1037" t="inlineStr">
        <is>
          <t>注意拼写，tence</t>
        </is>
      </c>
      <c r="G1037" s="18">
        <f>HYPERLINK("D:\python\英语学习\voices\"&amp;B1037&amp;"_1.mp3","BrE")</f>
        <v/>
      </c>
      <c r="H1037" s="18">
        <f>HYPERLINK("D:\python\英语学习\voices\"&amp;B1037&amp;"_2.mp3","AmE")</f>
        <v/>
      </c>
      <c r="I1037" s="18">
        <f>HYPERLINK("http://dict.youdao.com/w/"&amp;B1037,"有道")</f>
        <v/>
      </c>
    </row>
    <row customHeight="1" ht="28.5" r="1038">
      <c r="B1038" s="1" t="inlineStr">
        <is>
          <t>insistent</t>
        </is>
      </c>
      <c r="C1038" s="7">
        <f>"adj. 坚持的；迫切的；显著的；引人注目的；紧急的"</f>
        <v/>
      </c>
      <c r="G1038" s="18">
        <f>HYPERLINK("D:\python\英语学习\voices\"&amp;B1038&amp;"_1.mp3","BrE")</f>
        <v/>
      </c>
      <c r="H1038" s="18">
        <f>HYPERLINK("D:\python\英语学习\voices\"&amp;B1038&amp;"_2.mp3","AmE")</f>
        <v/>
      </c>
      <c r="I1038" s="18">
        <f>HYPERLINK("http://dict.youdao.com/w/"&amp;B1038,"有道")</f>
        <v/>
      </c>
    </row>
    <row r="1039">
      <c r="B1039" s="1" t="inlineStr">
        <is>
          <t>instantaneous</t>
        </is>
      </c>
      <c r="C1039" s="7">
        <f>"adj. 瞬间的；即时的；猝发的"</f>
        <v/>
      </c>
      <c r="G1039" s="18">
        <f>HYPERLINK("D:\python\英语学习\voices\"&amp;B1039&amp;"_1.mp3","BrE")</f>
        <v/>
      </c>
      <c r="H1039" s="18">
        <f>HYPERLINK("D:\python\英语学习\voices\"&amp;B1039&amp;"_2.mp3","AmE")</f>
        <v/>
      </c>
      <c r="I1039" s="18">
        <f>HYPERLINK("http://dict.youdao.com/w/"&amp;B1039,"有道")</f>
        <v/>
      </c>
    </row>
    <row customHeight="1" ht="28.5" r="1040">
      <c r="B1040" s="1" t="inlineStr">
        <is>
          <t>instrumental</t>
        </is>
      </c>
      <c r="C1040" s="7">
        <f>"adj. 乐器的；有帮助的；仪器的，器械的"&amp;CHAR(10)&amp;"n. 器乐曲；工具字，工具格"</f>
        <v/>
      </c>
      <c r="E1040" t="inlineStr">
        <is>
          <t>好多意思，起重要作用</t>
        </is>
      </c>
      <c r="G1040" s="18">
        <f>HYPERLINK("D:\python\英语学习\voices\"&amp;B1040&amp;"_1.mp3","BrE")</f>
        <v/>
      </c>
      <c r="H1040" s="18">
        <f>HYPERLINK("D:\python\英语学习\voices\"&amp;B1040&amp;"_2.mp3","AmE")</f>
        <v/>
      </c>
      <c r="I1040" s="18">
        <f>HYPERLINK("http://dict.youdao.com/w/"&amp;B1040,"有道")</f>
        <v/>
      </c>
    </row>
    <row r="1041">
      <c r="B1041" s="1" t="inlineStr">
        <is>
          <t>insulate</t>
        </is>
      </c>
      <c r="C1041" s="7">
        <f>"vt. 隔离，使孤立；使绝缘，使隔热"</f>
        <v/>
      </c>
      <c r="G1041" s="18">
        <f>HYPERLINK("D:\python\英语学习\voices\"&amp;B1041&amp;"_1.mp3","BrE")</f>
        <v/>
      </c>
      <c r="H1041" s="18">
        <f>HYPERLINK("D:\python\英语学习\voices\"&amp;B1041&amp;"_2.mp3","AmE")</f>
        <v/>
      </c>
      <c r="I1041" s="18">
        <f>HYPERLINK("http://dict.youdao.com/w/"&amp;B1041,"有道")</f>
        <v/>
      </c>
    </row>
    <row r="1042">
      <c r="B1042" s="1" t="inlineStr">
        <is>
          <t>insulator</t>
        </is>
      </c>
      <c r="C1042" s="7">
        <f>"n. [物] 绝缘体；从事绝缘工作的工人"</f>
        <v/>
      </c>
      <c r="G1042" s="18">
        <f>HYPERLINK("D:\python\英语学习\voices\"&amp;B1042&amp;"_1.mp3","BrE")</f>
        <v/>
      </c>
      <c r="H1042" s="18">
        <f>HYPERLINK("D:\python\英语学习\voices\"&amp;B1042&amp;"_2.mp3","AmE")</f>
        <v/>
      </c>
      <c r="I1042" s="18">
        <f>HYPERLINK("http://dict.youdao.com/w/"&amp;B1042,"有道")</f>
        <v/>
      </c>
    </row>
    <row r="1043">
      <c r="B1043" s="1" t="inlineStr">
        <is>
          <t>insulin</t>
        </is>
      </c>
      <c r="C1043" s="7">
        <f>"n. [生化][药] 胰岛素"</f>
        <v/>
      </c>
      <c r="G1043" s="18">
        <f>HYPERLINK("D:\python\英语学习\voices\"&amp;B1043&amp;"_1.mp3","BrE")</f>
        <v/>
      </c>
      <c r="H1043" s="18">
        <f>HYPERLINK("D:\python\英语学习\voices\"&amp;B1043&amp;"_2.mp3","AmE")</f>
        <v/>
      </c>
      <c r="I1043" s="18">
        <f>HYPERLINK("http://dict.youdao.com/w/"&amp;B1043,"有道")</f>
        <v/>
      </c>
    </row>
    <row customHeight="1" ht="28.5" r="1044">
      <c r="B1044" s="1" t="inlineStr">
        <is>
          <t>insure</t>
        </is>
      </c>
      <c r="C1044" s="7">
        <f>"vt. 确保，保证；给…保险"&amp;CHAR(10)&amp;"vi. 确保；投保"</f>
        <v/>
      </c>
      <c r="E1044" s="6" t="inlineStr">
        <is>
          <t>注意拼写</t>
        </is>
      </c>
      <c r="G1044" s="18">
        <f>HYPERLINK("D:\python\英语学习\voices\"&amp;B1044&amp;"_1.mp3","BrE")</f>
        <v/>
      </c>
      <c r="H1044" s="18">
        <f>HYPERLINK("D:\python\英语学习\voices\"&amp;B1044&amp;"_2.mp3","AmE")</f>
        <v/>
      </c>
      <c r="I1044" s="18">
        <f>HYPERLINK("http://dict.youdao.com/w/"&amp;B1044,"有道")</f>
        <v/>
      </c>
    </row>
    <row customHeight="1" ht="28.5" r="1045">
      <c r="A1045" s="1" t="inlineStr">
        <is>
          <t>practice</t>
        </is>
      </c>
      <c r="B1045" s="1" t="inlineStr">
        <is>
          <t>agitate</t>
        </is>
      </c>
      <c r="C1045" s="7">
        <f>"vt. 摇动；骚动；使…激动"&amp;CHAR(10)&amp;"vi. 煽动"</f>
        <v/>
      </c>
      <c r="G1045" s="18">
        <f>HYPERLINK("D:\python\英语学习\voices\"&amp;B1045&amp;"_1.mp3","BrE")</f>
        <v/>
      </c>
      <c r="H1045" s="18">
        <f>HYPERLINK("D:\python\英语学习\voices\"&amp;B1045&amp;"_2.mp3","AmE")</f>
        <v/>
      </c>
      <c r="I1045" s="18">
        <f>HYPERLINK("http://dict.youdao.com/w/"&amp;B1045,"有道")</f>
        <v/>
      </c>
    </row>
    <row r="1046">
      <c r="B1046" s="1" t="inlineStr">
        <is>
          <t>intake</t>
        </is>
      </c>
      <c r="C1046" s="7">
        <f>"n. 摄取量；通风口；引入口；引入的量"</f>
        <v/>
      </c>
      <c r="G1046" s="18">
        <f>HYPERLINK("D:\python\英语学习\voices\"&amp;B1046&amp;"_1.mp3","BrE")</f>
        <v/>
      </c>
      <c r="H1046" s="18">
        <f>HYPERLINK("D:\python\英语学习\voices\"&amp;B1046&amp;"_2.mp3","AmE")</f>
        <v/>
      </c>
      <c r="I1046" s="18">
        <f>HYPERLINK("http://dict.youdao.com/w/"&amp;B1046,"有道")</f>
        <v/>
      </c>
    </row>
    <row customHeight="1" ht="42.75" r="1047">
      <c r="A1047" s="1" t="inlineStr">
        <is>
          <t>practice</t>
        </is>
      </c>
      <c r="B1047" s="1" t="inlineStr">
        <is>
          <t>agitation</t>
        </is>
      </c>
      <c r="C1047" s="7">
        <f>"n. 激动；搅动；煽动；烦乱"</f>
        <v/>
      </c>
      <c r="G1047" s="18">
        <f>HYPERLINK("D:\python\英语学习\voices\"&amp;B1047&amp;"_1.mp3","BrE")</f>
        <v/>
      </c>
      <c r="H1047" s="18">
        <f>HYPERLINK("D:\python\英语学习\voices\"&amp;B1047&amp;"_2.mp3","AmE")</f>
        <v/>
      </c>
      <c r="I1047" s="18">
        <f>HYPERLINK("http://dict.youdao.com/w/"&amp;B1047,"有道")</f>
        <v/>
      </c>
    </row>
    <row customHeight="1" ht="71.25" r="1048">
      <c r="B1048" s="1" t="inlineStr">
        <is>
          <t>integrate</t>
        </is>
      </c>
      <c r="C1048" s="7">
        <f>"vt. 使…完整；使…成整体；求…的积分；表示…的总和"&amp;CHAR(10)&amp;"vi. 求积分；取消隔离；成为一体"&amp;CHAR(10)&amp;"adj. 整合的；完全的"&amp;CHAR(10)&amp;"n. 一体化；集成体"</f>
        <v/>
      </c>
      <c r="G1048" s="18">
        <f>HYPERLINK("D:\python\英语学习\voices\"&amp;B1048&amp;"_1.mp3","BrE")</f>
        <v/>
      </c>
      <c r="H1048" s="18">
        <f>HYPERLINK("D:\python\英语学习\voices\"&amp;B1048&amp;"_2.mp3","AmE")</f>
        <v/>
      </c>
      <c r="I1048" s="18">
        <f>HYPERLINK("http://dict.youdao.com/w/"&amp;B1048,"有道")</f>
        <v/>
      </c>
    </row>
    <row r="1049">
      <c r="B1049" s="1" t="inlineStr">
        <is>
          <t>integrity</t>
        </is>
      </c>
      <c r="C1049" s="7">
        <f>"n. 完整；正直；诚实；廉正"</f>
        <v/>
      </c>
      <c r="G1049" s="18">
        <f>HYPERLINK("D:\python\英语学习\voices\"&amp;B1049&amp;"_1.mp3","BrE")</f>
        <v/>
      </c>
      <c r="H1049" s="18">
        <f>HYPERLINK("D:\python\英语学习\voices\"&amp;B1049&amp;"_2.mp3","AmE")</f>
        <v/>
      </c>
      <c r="I1049" s="18">
        <f>HYPERLINK("http://dict.youdao.com/w/"&amp;B1049,"有道")</f>
        <v/>
      </c>
    </row>
    <row customHeight="1" ht="28.5" r="1050">
      <c r="B1050" s="1" t="inlineStr">
        <is>
          <t>intellect</t>
        </is>
      </c>
      <c r="C1050" s="7">
        <f>"n. 智力，理解力；知识分子；思维逻辑领悟力；智力高的人"</f>
        <v/>
      </c>
      <c r="G1050" s="18">
        <f>HYPERLINK("D:\python\英语学习\voices\"&amp;B1050&amp;"_1.mp3","BrE")</f>
        <v/>
      </c>
      <c r="H1050" s="18">
        <f>HYPERLINK("D:\python\英语学习\voices\"&amp;B1050&amp;"_2.mp3","AmE")</f>
        <v/>
      </c>
      <c r="I1050" s="18">
        <f>HYPERLINK("http://dict.youdao.com/w/"&amp;B1050,"有道")</f>
        <v/>
      </c>
    </row>
    <row customHeight="1" ht="29.1" r="1051">
      <c r="B1051" s="1" t="inlineStr">
        <is>
          <t>intelligible</t>
        </is>
      </c>
      <c r="C1051" s="7">
        <f>"adj. 可理解的；明了的；仅能用智力了解的"</f>
        <v/>
      </c>
      <c r="G1051" s="18">
        <f>HYPERLINK("D:\python\英语学习\voices\"&amp;B1051&amp;"_1.mp3","BrE")</f>
        <v/>
      </c>
      <c r="H1051" s="18">
        <f>HYPERLINK("D:\python\英语学习\voices\"&amp;B1051&amp;"_2.mp3","AmE")</f>
        <v/>
      </c>
      <c r="I1051" s="18">
        <f>HYPERLINK("http://dict.youdao.com/w/"&amp;B1051,"有道")</f>
        <v/>
      </c>
    </row>
    <row customHeight="1" ht="28.5" r="1052">
      <c r="B1052" s="1" t="inlineStr">
        <is>
          <t>intent</t>
        </is>
      </c>
      <c r="C1052" s="7">
        <f>"n. 意图；目的；含义"&amp;CHAR(10)&amp;"adj. 专心的；急切的；坚决的"</f>
        <v/>
      </c>
      <c r="G1052" s="18">
        <f>HYPERLINK("D:\python\英语学习\voices\"&amp;B1052&amp;"_1.mp3","BrE")</f>
        <v/>
      </c>
      <c r="H1052" s="18">
        <f>HYPERLINK("D:\python\英语学习\voices\"&amp;B1052&amp;"_2.mp3","AmE")</f>
        <v/>
      </c>
      <c r="I1052" s="18">
        <f>HYPERLINK("http://dict.youdao.com/w/"&amp;B1052,"有道")</f>
        <v/>
      </c>
    </row>
    <row customHeight="1" ht="42.75" r="1053">
      <c r="B1053" s="1" t="inlineStr">
        <is>
          <t>inter</t>
        </is>
      </c>
      <c r="C1053" s="7">
        <f>"vt. 埋；葬"&amp;CHAR(10)&amp;"n. 跨性别（intersex的简写）"&amp;CHAR(10)&amp;"n. (Inter)人名；(德)因特"</f>
        <v/>
      </c>
      <c r="G1053" s="18">
        <f>HYPERLINK("D:\python\英语学习\voices\"&amp;B1053&amp;"_1.mp3","BrE")</f>
        <v/>
      </c>
      <c r="H1053" s="18">
        <f>HYPERLINK("D:\python\英语学习\voices\"&amp;B1053&amp;"_2.mp3","AmE")</f>
        <v/>
      </c>
      <c r="I1053" s="18">
        <f>HYPERLINK("http://dict.youdao.com/w/"&amp;B1053,"有道")</f>
        <v/>
      </c>
    </row>
    <row customHeight="1" ht="28.5" r="1054">
      <c r="B1054" s="1" t="inlineStr">
        <is>
          <t>interconnect</t>
        </is>
      </c>
      <c r="C1054" s="7">
        <f>"vt. 使互相连接"&amp;CHAR(10)&amp;"vi. 互相联系"</f>
        <v/>
      </c>
      <c r="G1054" s="18">
        <f>HYPERLINK("D:\python\英语学习\voices\"&amp;B1054&amp;"_1.mp3","BrE")</f>
        <v/>
      </c>
      <c r="H1054" s="18">
        <f>HYPERLINK("D:\python\英语学习\voices\"&amp;B1054&amp;"_2.mp3","AmE")</f>
        <v/>
      </c>
      <c r="I1054" s="18">
        <f>HYPERLINK("http://dict.youdao.com/w/"&amp;B1054,"有道")</f>
        <v/>
      </c>
    </row>
    <row customHeight="1" ht="57" r="1055">
      <c r="B1055" s="1" t="inlineStr">
        <is>
          <t>interface</t>
        </is>
      </c>
      <c r="C1055" s="7">
        <f>"n. 界面；&lt;计&gt;接口；交界面"&amp;CHAR(10)&amp;"v. （使通过界面或接口）接合，连接；[计算机]使联系"&amp;CHAR(10)&amp;"vi. 相互作用（或影响）；交流，交谈"</f>
        <v/>
      </c>
      <c r="G1055" s="18">
        <f>HYPERLINK("D:\python\英语学习\voices\"&amp;B1055&amp;"_1.mp3","BrE")</f>
        <v/>
      </c>
      <c r="H1055" s="18">
        <f>HYPERLINK("D:\python\英语学习\voices\"&amp;B1055&amp;"_2.mp3","AmE")</f>
        <v/>
      </c>
      <c r="I1055" s="18">
        <f>HYPERLINK("http://dict.youdao.com/w/"&amp;B1055,"有道")</f>
        <v/>
      </c>
    </row>
    <row customHeight="1" ht="28.5" r="1056">
      <c r="B1056" s="1" t="inlineStr">
        <is>
          <t>interim</t>
        </is>
      </c>
      <c r="C1056" s="7">
        <f>"adj. 临时的，暂时的；中间的；间歇的"&amp;CHAR(10)&amp;"n. 过渡时期，中间时期；暂定"</f>
        <v/>
      </c>
      <c r="G1056" s="18">
        <f>HYPERLINK("D:\python\英语学习\voices\"&amp;B1056&amp;"_1.mp3","BrE")</f>
        <v/>
      </c>
      <c r="H1056" s="18">
        <f>HYPERLINK("D:\python\英语学习\voices\"&amp;B1056&amp;"_2.mp3","AmE")</f>
        <v/>
      </c>
      <c r="I1056" s="18">
        <f>HYPERLINK("http://dict.youdao.com/w/"&amp;B1056,"有道")</f>
        <v/>
      </c>
    </row>
    <row customHeight="1" ht="42.75" r="1057">
      <c r="B1057" s="1" t="inlineStr">
        <is>
          <t>intermediate</t>
        </is>
      </c>
      <c r="C1057" s="7">
        <f>"vi. 起媒介作用"&amp;CHAR(10)&amp;"adj. 中间的，中级的"&amp;CHAR(10)&amp;"n. [化学] 中间物；媒介"</f>
        <v/>
      </c>
      <c r="G1057" s="18">
        <f>HYPERLINK("D:\python\英语学习\voices\"&amp;B1057&amp;"_1.mp3","BrE")</f>
        <v/>
      </c>
      <c r="H1057" s="18">
        <f>HYPERLINK("D:\python\英语学习\voices\"&amp;B1057&amp;"_2.mp3","AmE")</f>
        <v/>
      </c>
      <c r="I1057" s="18">
        <f>HYPERLINK("http://dict.youdao.com/w/"&amp;B1057,"有道")</f>
        <v/>
      </c>
    </row>
    <row customHeight="1" ht="28.5" r="1058">
      <c r="B1058" s="1" t="inlineStr">
        <is>
          <t>internalize</t>
        </is>
      </c>
      <c r="C1058" s="7">
        <f>"vt. 使（习俗等经吸收同化而）内在化；使藏在心底"</f>
        <v/>
      </c>
      <c r="G1058" s="18">
        <f>HYPERLINK("D:\python\英语学习\voices\"&amp;B1058&amp;"_1.mp3","BrE")</f>
        <v/>
      </c>
      <c r="H1058" s="18">
        <f>HYPERLINK("D:\python\英语学习\voices\"&amp;B1058&amp;"_2.mp3","AmE")</f>
        <v/>
      </c>
      <c r="I1058" s="18">
        <f>HYPERLINK("http://dict.youdao.com/w/"&amp;B1058,"有道")</f>
        <v/>
      </c>
    </row>
    <row r="1059">
      <c r="B1059" s="1" t="inlineStr">
        <is>
          <t>intervene</t>
        </is>
      </c>
      <c r="C1059" s="7">
        <f>"vi. 干涉；调停；插入"</f>
        <v/>
      </c>
      <c r="G1059" s="18">
        <f>HYPERLINK("D:\python\英语学习\voices\"&amp;B1059&amp;"_1.mp3","BrE")</f>
        <v/>
      </c>
      <c r="H1059" s="18">
        <f>HYPERLINK("D:\python\英语学习\voices\"&amp;B1059&amp;"_2.mp3","AmE")</f>
        <v/>
      </c>
      <c r="I1059" s="18">
        <f>HYPERLINK("http://dict.youdao.com/w/"&amp;B1059,"有道")</f>
        <v/>
      </c>
    </row>
    <row r="1060">
      <c r="B1060" s="1" t="inlineStr">
        <is>
          <t>intestinal</t>
        </is>
      </c>
      <c r="C1060" s="7">
        <f>"adj. 肠的"</f>
        <v/>
      </c>
      <c r="G1060" s="18">
        <f>HYPERLINK("D:\python\英语学习\voices\"&amp;B1060&amp;"_1.mp3","BrE")</f>
        <v/>
      </c>
      <c r="H1060" s="18">
        <f>HYPERLINK("D:\python\英语学习\voices\"&amp;B1060&amp;"_2.mp3","AmE")</f>
        <v/>
      </c>
      <c r="I1060" s="18">
        <f>HYPERLINK("http://dict.youdao.com/w/"&amp;B1060,"有道")</f>
        <v/>
      </c>
    </row>
    <row customHeight="1" ht="42.75" r="1061">
      <c r="B1061" s="1" t="inlineStr">
        <is>
          <t>intimate</t>
        </is>
      </c>
      <c r="C1061" s="7">
        <f>"adj. 亲密的；私人的；精通的；有性关系的"&amp;CHAR(10)&amp;"n. 知己；至交"&amp;CHAR(10)&amp;"vt. 暗示；通知；宣布"</f>
        <v/>
      </c>
      <c r="G1061" s="18">
        <f>HYPERLINK("D:\python\英语学习\voices\"&amp;B1061&amp;"_1.mp3","BrE")</f>
        <v/>
      </c>
      <c r="H1061" s="18">
        <f>HYPERLINK("D:\python\英语学习\voices\"&amp;B1061&amp;"_2.mp3","AmE")</f>
        <v/>
      </c>
      <c r="I1061" s="18">
        <f>HYPERLINK("http://dict.youdao.com/w/"&amp;B1061,"有道")</f>
        <v/>
      </c>
    </row>
    <row r="1062">
      <c r="B1062" s="1" t="inlineStr">
        <is>
          <t>intonation</t>
        </is>
      </c>
      <c r="C1062" s="7">
        <f>"n. 声调，语调；语音的抑扬"</f>
        <v/>
      </c>
      <c r="G1062" s="18">
        <f>HYPERLINK("D:\python\英语学习\voices\"&amp;B1062&amp;"_1.mp3","BrE")</f>
        <v/>
      </c>
      <c r="H1062" s="18">
        <f>HYPERLINK("D:\python\英语学习\voices\"&amp;B1062&amp;"_2.mp3","AmE")</f>
        <v/>
      </c>
      <c r="I1062" s="18">
        <f>HYPERLINK("http://dict.youdao.com/w/"&amp;B1062,"有道")</f>
        <v/>
      </c>
    </row>
    <row customHeight="1" ht="28.5" r="1063">
      <c r="B1063" s="1" t="inlineStr">
        <is>
          <t>intracellular</t>
        </is>
      </c>
      <c r="C1063" s="7">
        <f>"adj. 细胞内的"</f>
        <v/>
      </c>
      <c r="E1063" s="7" t="inlineStr">
        <is>
          <t>intra- 内部
intro- 中间</t>
        </is>
      </c>
      <c r="G1063" s="18">
        <f>HYPERLINK("D:\python\英语学习\voices\"&amp;B1063&amp;"_1.mp3","BrE")</f>
        <v/>
      </c>
      <c r="H1063" s="18">
        <f>HYPERLINK("D:\python\英语学习\voices\"&amp;B1063&amp;"_2.mp3","AmE")</f>
        <v/>
      </c>
      <c r="I1063" s="18">
        <f>HYPERLINK("http://dict.youdao.com/w/"&amp;B1063,"有道")</f>
        <v/>
      </c>
    </row>
    <row r="1064">
      <c r="A1064" s="1" t="inlineStr">
        <is>
          <t>practice</t>
        </is>
      </c>
      <c r="B1064" s="1" t="inlineStr">
        <is>
          <t>ascertain</t>
        </is>
      </c>
      <c r="C1064" s="7">
        <f>"vt. 确定；查明；探知"</f>
        <v/>
      </c>
      <c r="E1064" s="6" t="inlineStr">
        <is>
          <t>注意拼写-和assert无关系，和certain有关系</t>
        </is>
      </c>
      <c r="G1064" s="18">
        <f>HYPERLINK("D:\python\英语学习\voices\"&amp;B1064&amp;"_1.mp3","BrE")</f>
        <v/>
      </c>
      <c r="H1064" s="18">
        <f>HYPERLINK("D:\python\英语学习\voices\"&amp;B1064&amp;"_2.mp3","AmE")</f>
        <v/>
      </c>
      <c r="I1064" s="18">
        <f>HYPERLINK("http://dict.youdao.com/w/"&amp;B1064,"有道")</f>
        <v/>
      </c>
    </row>
    <row r="1065">
      <c r="A1065" s="1" t="inlineStr">
        <is>
          <t>practice</t>
        </is>
      </c>
      <c r="B1065" s="1" t="inlineStr">
        <is>
          <t>behest</t>
        </is>
      </c>
      <c r="C1065" s="7">
        <f>"n. 命令；邀请；请求"</f>
        <v/>
      </c>
      <c r="E1065" s="6" t="inlineStr">
        <is>
          <t>at the behest of</t>
        </is>
      </c>
      <c r="G1065" s="18">
        <f>HYPERLINK("D:\python\英语学习\voices\"&amp;B1065&amp;"_1.mp3","BrE")</f>
        <v/>
      </c>
      <c r="H1065" s="18">
        <f>HYPERLINK("D:\python\英语学习\voices\"&amp;B1065&amp;"_2.mp3","AmE")</f>
        <v/>
      </c>
      <c r="I1065" s="18">
        <f>HYPERLINK("http://dict.youdao.com/w/"&amp;B1065,"有道")</f>
        <v/>
      </c>
    </row>
    <row r="1066">
      <c r="B1066" s="1" t="inlineStr">
        <is>
          <t>introduce</t>
        </is>
      </c>
      <c r="C1066" s="7">
        <f>"vt. 介绍；引进；提出；采用"</f>
        <v/>
      </c>
      <c r="E1066" s="6" t="inlineStr">
        <is>
          <t>好多意思</t>
        </is>
      </c>
      <c r="G1066" s="18">
        <f>HYPERLINK("D:\python\英语学习\voices\"&amp;B1066&amp;"_1.mp3","BrE")</f>
        <v/>
      </c>
      <c r="H1066" s="18">
        <f>HYPERLINK("D:\python\英语学习\voices\"&amp;B1066&amp;"_2.mp3","AmE")</f>
        <v/>
      </c>
      <c r="I1066" s="18">
        <f>HYPERLINK("http://dict.youdao.com/w/"&amp;B1066,"有道")</f>
        <v/>
      </c>
    </row>
    <row r="1067">
      <c r="B1067" s="1" t="inlineStr">
        <is>
          <t>introductory</t>
        </is>
      </c>
      <c r="C1067" s="7">
        <f>"adj. 引导的，介绍的；开端的"</f>
        <v/>
      </c>
      <c r="G1067" s="18">
        <f>HYPERLINK("D:\python\英语学习\voices\"&amp;B1067&amp;"_1.mp3","BrE")</f>
        <v/>
      </c>
      <c r="H1067" s="18">
        <f>HYPERLINK("D:\python\英语学习\voices\"&amp;B1067&amp;"_2.mp3","AmE")</f>
        <v/>
      </c>
      <c r="I1067" s="18">
        <f>HYPERLINK("http://dict.youdao.com/w/"&amp;B1067,"有道")</f>
        <v/>
      </c>
    </row>
    <row r="1068">
      <c r="B1068" s="1" t="inlineStr">
        <is>
          <t>intrusion</t>
        </is>
      </c>
      <c r="C1068" s="7">
        <f>"n. 侵入；闯入"</f>
        <v/>
      </c>
      <c r="G1068" s="18">
        <f>HYPERLINK("D:\python\英语学习\voices\"&amp;B1068&amp;"_1.mp3","BrE")</f>
        <v/>
      </c>
      <c r="H1068" s="18">
        <f>HYPERLINK("D:\python\英语学习\voices\"&amp;B1068&amp;"_2.mp3","AmE")</f>
        <v/>
      </c>
      <c r="I1068" s="18">
        <f>HYPERLINK("http://dict.youdao.com/w/"&amp;B1068,"有道")</f>
        <v/>
      </c>
    </row>
    <row r="1069">
      <c r="B1069" s="1" t="inlineStr">
        <is>
          <t>intuition</t>
        </is>
      </c>
      <c r="C1069" s="7">
        <f>"n. 直觉；直觉力；直觉的知识"</f>
        <v/>
      </c>
      <c r="E1069" s="16" t="inlineStr">
        <is>
          <t>注意发音-重音在i!!</t>
        </is>
      </c>
      <c r="G1069" s="18">
        <f>HYPERLINK("D:\python\英语学习\voices\"&amp;B1069&amp;"_1.mp3","BrE")</f>
        <v/>
      </c>
      <c r="H1069" s="18">
        <f>HYPERLINK("D:\python\英语学习\voices\"&amp;B1069&amp;"_2.mp3","AmE")</f>
        <v/>
      </c>
      <c r="I1069" s="18">
        <f>HYPERLINK("http://dict.youdao.com/w/"&amp;B1069,"有道")</f>
        <v/>
      </c>
    </row>
    <row r="1070">
      <c r="B1070" s="1" t="inlineStr">
        <is>
          <t>intuitive</t>
        </is>
      </c>
      <c r="C1070" s="7">
        <f>"adj. 直觉的；凭直觉获知的"</f>
        <v/>
      </c>
      <c r="G1070" s="18">
        <f>HYPERLINK("D:\python\英语学习\voices\"&amp;B1070&amp;"_1.mp3","BrE")</f>
        <v/>
      </c>
      <c r="H1070" s="18">
        <f>HYPERLINK("D:\python\英语学习\voices\"&amp;B1070&amp;"_2.mp3","AmE")</f>
        <v/>
      </c>
      <c r="I1070" s="18">
        <f>HYPERLINK("http://dict.youdao.com/w/"&amp;B1070,"有道")</f>
        <v/>
      </c>
    </row>
    <row customHeight="1" ht="28.5" r="1071">
      <c r="B1071" s="1" t="inlineStr">
        <is>
          <t>inverse</t>
        </is>
      </c>
      <c r="C1071" s="7">
        <f>"n. 相反；倒转"&amp;CHAR(10)&amp;"adj. 相反的；倒转的"</f>
        <v/>
      </c>
      <c r="G1071" s="18">
        <f>HYPERLINK("D:\python\英语学习\voices\"&amp;B1071&amp;"_1.mp3","BrE")</f>
        <v/>
      </c>
      <c r="H1071" s="18">
        <f>HYPERLINK("D:\python\英语学习\voices\"&amp;B1071&amp;"_2.mp3","AmE")</f>
        <v/>
      </c>
      <c r="I1071" s="18">
        <f>HYPERLINK("http://dict.youdao.com/w/"&amp;B1071,"有道")</f>
        <v/>
      </c>
    </row>
    <row customHeight="1" ht="57" r="1072">
      <c r="B1072" s="1" t="inlineStr">
        <is>
          <t>invert</t>
        </is>
      </c>
      <c r="C1072" s="7">
        <f>"vt. 使…转化；使…颠倒；使…反转；使…前后倒置"&amp;CHAR(10)&amp;"n. 颠倒的事物；倒置物；倒悬者"&amp;CHAR(10)&amp;"adj. 转化的"</f>
        <v/>
      </c>
      <c r="G1072" s="18">
        <f>HYPERLINK("D:\python\英语学习\voices\"&amp;B1072&amp;"_1.mp3","BrE")</f>
        <v/>
      </c>
      <c r="H1072" s="18">
        <f>HYPERLINK("D:\python\英语学习\voices\"&amp;B1072&amp;"_2.mp3","AmE")</f>
        <v/>
      </c>
      <c r="I1072" s="18">
        <f>HYPERLINK("http://dict.youdao.com/w/"&amp;B1072,"有道")</f>
        <v/>
      </c>
    </row>
    <row customHeight="1" ht="28.5" r="1073">
      <c r="B1073" s="1" t="inlineStr">
        <is>
          <t>invoice</t>
        </is>
      </c>
      <c r="C1073" s="7">
        <f>"n. 发票；货物；发货单"&amp;CHAR(10)&amp;"vt. 开发票；记清单"</f>
        <v/>
      </c>
      <c r="G1073" s="18">
        <f>HYPERLINK("D:\python\英语学习\voices\"&amp;B1073&amp;"_1.mp3","BrE")</f>
        <v/>
      </c>
      <c r="H1073" s="18">
        <f>HYPERLINK("D:\python\英语学习\voices\"&amp;B1073&amp;"_2.mp3","AmE")</f>
        <v/>
      </c>
      <c r="I1073" s="18">
        <f>HYPERLINK("http://dict.youdao.com/w/"&amp;B1073,"有道")</f>
        <v/>
      </c>
    </row>
    <row r="1074">
      <c r="B1074" s="1" t="inlineStr">
        <is>
          <t>invoke</t>
        </is>
      </c>
      <c r="C1074" s="7">
        <f>"vt. 调用；祈求；引起；恳求"</f>
        <v/>
      </c>
      <c r="G1074" s="18">
        <f>HYPERLINK("D:\python\英语学习\voices\"&amp;B1074&amp;"_1.mp3","BrE")</f>
        <v/>
      </c>
      <c r="H1074" s="18">
        <f>HYPERLINK("D:\python\英语学习\voices\"&amp;B1074&amp;"_2.mp3","AmE")</f>
        <v/>
      </c>
      <c r="I1074" s="18">
        <f>HYPERLINK("http://dict.youdao.com/w/"&amp;B1074,"有道")</f>
        <v/>
      </c>
    </row>
    <row r="1075">
      <c r="B1075" s="1" t="inlineStr">
        <is>
          <t>irregularity</t>
        </is>
      </c>
      <c r="C1075" s="7">
        <f>"n. 不规则；无规律；不整齐"</f>
        <v/>
      </c>
      <c r="G1075" s="18">
        <f>HYPERLINK("D:\python\英语学习\voices\"&amp;B1075&amp;"_1.mp3","BrE")</f>
        <v/>
      </c>
      <c r="H1075" s="18">
        <f>HYPERLINK("D:\python\英语学习\voices\"&amp;B1075&amp;"_2.mp3","AmE")</f>
        <v/>
      </c>
      <c r="I1075" s="18">
        <f>HYPERLINK("http://dict.youdao.com/w/"&amp;B1075,"有道")</f>
        <v/>
      </c>
    </row>
    <row r="1076">
      <c r="B1076" s="1" t="inlineStr">
        <is>
          <t>irrespective</t>
        </is>
      </c>
      <c r="C1076" s="7">
        <f>"adj. 无关的；不考虑的；不顾的"</f>
        <v/>
      </c>
      <c r="G1076" s="18">
        <f>HYPERLINK("D:\python\英语学习\voices\"&amp;B1076&amp;"_1.mp3","BrE")</f>
        <v/>
      </c>
      <c r="H1076" s="18">
        <f>HYPERLINK("D:\python\英语学习\voices\"&amp;B1076&amp;"_2.mp3","AmE")</f>
        <v/>
      </c>
      <c r="I1076" s="18">
        <f>HYPERLINK("http://dict.youdao.com/w/"&amp;B1076,"有道")</f>
        <v/>
      </c>
    </row>
    <row r="1077">
      <c r="B1077" s="1" t="inlineStr">
        <is>
          <t>irreversible</t>
        </is>
      </c>
      <c r="C1077" s="7">
        <f>"adj. 不可逆的；不能取消的；不能翻转的"</f>
        <v/>
      </c>
      <c r="G1077" s="18">
        <f>HYPERLINK("D:\python\英语学习\voices\"&amp;B1077&amp;"_1.mp3","BrE")</f>
        <v/>
      </c>
      <c r="H1077" s="18">
        <f>HYPERLINK("D:\python\英语学习\voices\"&amp;B1077&amp;"_2.mp3","AmE")</f>
        <v/>
      </c>
      <c r="I1077" s="18">
        <f>HYPERLINK("http://dict.youdao.com/w/"&amp;B1077,"有道")</f>
        <v/>
      </c>
    </row>
    <row r="1078">
      <c r="B1078" s="1" t="inlineStr">
        <is>
          <t>irrigation</t>
        </is>
      </c>
      <c r="C1078" s="7">
        <f>"n. 灌溉；[临床] 冲洗；冲洗法"</f>
        <v/>
      </c>
      <c r="G1078" s="18">
        <f>HYPERLINK("D:\python\英语学习\voices\"&amp;B1078&amp;"_1.mp3","BrE")</f>
        <v/>
      </c>
      <c r="H1078" s="18">
        <f>HYPERLINK("D:\python\英语学习\voices\"&amp;B1078&amp;"_2.mp3","AmE")</f>
        <v/>
      </c>
      <c r="I1078" s="18">
        <f>HYPERLINK("http://dict.youdao.com/w/"&amp;B1078,"有道")</f>
        <v/>
      </c>
    </row>
    <row customHeight="1" ht="28.5" r="1079">
      <c r="B1079" s="1" t="inlineStr">
        <is>
          <t>irritation</t>
        </is>
      </c>
      <c r="C1079" s="7">
        <f>"n. 刺激；激怒，恼怒，生气；兴奋；令人恼火的事"</f>
        <v/>
      </c>
      <c r="G1079" s="18">
        <f>HYPERLINK("D:\python\英语学习\voices\"&amp;B1079&amp;"_1.mp3","BrE")</f>
        <v/>
      </c>
      <c r="H1079" s="18">
        <f>HYPERLINK("D:\python\英语学习\voices\"&amp;B1079&amp;"_2.mp3","AmE")</f>
        <v/>
      </c>
      <c r="I1079" s="18">
        <f>HYPERLINK("http://dict.youdao.com/w/"&amp;B1079,"有道")</f>
        <v/>
      </c>
    </row>
    <row customHeight="1" ht="57" r="1080">
      <c r="B1080" s="1" t="inlineStr">
        <is>
          <t>isle</t>
        </is>
      </c>
      <c r="C1080" s="7">
        <f>"n. 岛"&amp;CHAR(10)&amp;"vt. 使成为岛屿"&amp;CHAR(10)&amp;"vi. 住在岛屿上"&amp;CHAR(10)&amp;"n. (Isle)人名；(英)艾尔"</f>
        <v/>
      </c>
      <c r="G1080" s="18">
        <f>HYPERLINK("D:\python\英语学习\voices\"&amp;B1080&amp;"_1.mp3","BrE")</f>
        <v/>
      </c>
      <c r="H1080" s="18">
        <f>HYPERLINK("D:\python\英语学习\voices\"&amp;B1080&amp;"_2.mp3","AmE")</f>
        <v/>
      </c>
      <c r="I1080" s="18">
        <f>HYPERLINK("http://dict.youdao.com/w/"&amp;B1080,"有道")</f>
        <v/>
      </c>
    </row>
    <row customHeight="1" ht="42.75" r="1081">
      <c r="B1081" s="1" t="inlineStr">
        <is>
          <t>jack</t>
        </is>
      </c>
      <c r="C1081" s="7">
        <f>"n. 千斤顶；[电] 插座；男人"&amp;CHAR(10)&amp;"vt. 增加；提醒；抬起；用千斤顶顶起某物"&amp;CHAR(10)&amp;"adj. 雄的"</f>
        <v/>
      </c>
      <c r="G1081" s="18">
        <f>HYPERLINK("D:\python\英语学习\voices\"&amp;B1081&amp;"_1.mp3","BrE")</f>
        <v/>
      </c>
      <c r="H1081" s="18">
        <f>HYPERLINK("D:\python\英语学习\voices\"&amp;B1081&amp;"_2.mp3","AmE")</f>
        <v/>
      </c>
      <c r="I1081" s="18">
        <f>HYPERLINK("http://dict.youdao.com/w/"&amp;B1081,"有道")</f>
        <v/>
      </c>
    </row>
    <row r="1082">
      <c r="B1082" s="1" t="inlineStr">
        <is>
          <t>jargon</t>
        </is>
      </c>
      <c r="C1082" s="7">
        <f>"n. 行话，术语；黄锆石"</f>
        <v/>
      </c>
      <c r="G1082" s="18">
        <f>HYPERLINK("D:\python\英语学习\voices\"&amp;B1082&amp;"_1.mp3","BrE")</f>
        <v/>
      </c>
      <c r="H1082" s="18">
        <f>HYPERLINK("D:\python\英语学习\voices\"&amp;B1082&amp;"_2.mp3","AmE")</f>
        <v/>
      </c>
      <c r="I1082" s="18">
        <f>HYPERLINK("http://dict.youdao.com/w/"&amp;B1082,"有道")</f>
        <v/>
      </c>
    </row>
    <row r="1083">
      <c r="B1083" s="1" t="inlineStr">
        <is>
          <t>jealousy</t>
        </is>
      </c>
      <c r="C1083" s="7">
        <f>"n. 嫉妒；猜忌；戒备"</f>
        <v/>
      </c>
      <c r="G1083" s="18">
        <f>HYPERLINK("D:\python\英语学习\voices\"&amp;B1083&amp;"_1.mp3","BrE")</f>
        <v/>
      </c>
      <c r="H1083" s="18">
        <f>HYPERLINK("D:\python\英语学习\voices\"&amp;B1083&amp;"_2.mp3","AmE")</f>
        <v/>
      </c>
      <c r="I1083" s="18">
        <f>HYPERLINK("http://dict.youdao.com/w/"&amp;B1083,"有道")</f>
        <v/>
      </c>
    </row>
    <row customHeight="1" ht="57" r="1084">
      <c r="B1084" s="1" t="inlineStr">
        <is>
          <t>jerk</t>
        </is>
      </c>
      <c r="C1084" s="7">
        <f>"n. 肌肉抽搐；性情古怪的人；蠢人；急拉"&amp;CHAR(10)&amp;"vi. 痉挛；急拉；颠簸地行进"&amp;CHAR(10)&amp;"vt. 猛拉"&amp;CHAR(10)&amp;"n. (Jerk)人名；(俄)埃尔克；(匈)耶尔克"</f>
        <v/>
      </c>
      <c r="G1084" s="18">
        <f>HYPERLINK("D:\python\英语学习\voices\"&amp;B1084&amp;"_1.mp3","BrE")</f>
        <v/>
      </c>
      <c r="H1084" s="18">
        <f>HYPERLINK("D:\python\英语学习\voices\"&amp;B1084&amp;"_2.mp3","AmE")</f>
        <v/>
      </c>
      <c r="I1084" s="18">
        <f>HYPERLINK("http://dict.youdao.com/w/"&amp;B1084,"有道")</f>
        <v/>
      </c>
    </row>
    <row customHeight="1" ht="42.75" r="1085">
      <c r="B1085" s="1" t="inlineStr">
        <is>
          <t>jingle</t>
        </is>
      </c>
      <c r="C1085" s="7">
        <f>"n. 叮当声；节拍十分规则的简单诗歌"&amp;CHAR(10)&amp;"v. （使）叮当作响；具有简单而又引人注意的韵律"</f>
        <v/>
      </c>
      <c r="E1085" s="6" t="inlineStr">
        <is>
          <t>jingle bell</t>
        </is>
      </c>
      <c r="G1085" s="18">
        <f>HYPERLINK("D:\python\英语学习\voices\"&amp;B1085&amp;"_1.mp3","BrE")</f>
        <v/>
      </c>
      <c r="H1085" s="18">
        <f>HYPERLINK("D:\python\英语学习\voices\"&amp;B1085&amp;"_2.mp3","AmE")</f>
        <v/>
      </c>
      <c r="I1085" s="18">
        <f>HYPERLINK("http://dict.youdao.com/w/"&amp;B1085,"有道")</f>
        <v/>
      </c>
    </row>
    <row customHeight="1" ht="42.75" r="1086">
      <c r="B1086" s="1" t="inlineStr">
        <is>
          <t>jockey</t>
        </is>
      </c>
      <c r="C1086" s="7">
        <f>"vt. 驾驶；欺骗；移动"&amp;CHAR(10)&amp;"n. 操作工；驾驶员；赛马的骑师"&amp;CHAR(10)&amp;"vi. 当赛马的骑师；耍手段图谋；搞欺骗"</f>
        <v/>
      </c>
      <c r="E1086" s="6" t="inlineStr">
        <is>
          <t>x</t>
        </is>
      </c>
      <c r="G1086" s="18">
        <f>HYPERLINK("D:\python\英语学习\voices\"&amp;B1086&amp;"_1.mp3","BrE")</f>
        <v/>
      </c>
      <c r="H1086" s="18">
        <f>HYPERLINK("D:\python\英语学习\voices\"&amp;B1086&amp;"_2.mp3","AmE")</f>
        <v/>
      </c>
      <c r="I1086" s="18">
        <f>HYPERLINK("http://dict.youdao.com/w/"&amp;B1086,"有道")</f>
        <v/>
      </c>
    </row>
    <row customHeight="1" ht="57" r="1087">
      <c r="B1087" s="1" t="inlineStr">
        <is>
          <t>jog</t>
        </is>
      </c>
      <c r="C1087" s="7">
        <f>"vt. 慢跑；轻推；蹒跚行进；使颠簸"&amp;CHAR(10)&amp;"vi. 慢跑；轻推；蹒跚行进；颠簸着移动"&amp;CHAR(10)&amp;"n. 慢跑；轻推，轻撞"&amp;CHAR(10)&amp;"n. (Jog)人名；(尼)乔格"</f>
        <v/>
      </c>
      <c r="G1087" s="18">
        <f>HYPERLINK("D:\python\英语学习\voices\"&amp;B1087&amp;"_1.mp3","BrE")</f>
        <v/>
      </c>
      <c r="H1087" s="18">
        <f>HYPERLINK("D:\python\英语学习\voices\"&amp;B1087&amp;"_2.mp3","AmE")</f>
        <v/>
      </c>
      <c r="I1087" s="18">
        <f>HYPERLINK("http://dict.youdao.com/w/"&amp;B1087,"有道")</f>
        <v/>
      </c>
    </row>
    <row customHeight="1" ht="57" r="1088">
      <c r="B1088" s="1" t="inlineStr">
        <is>
          <t>jug</t>
        </is>
      </c>
      <c r="C1088" s="7">
        <f>"n. [轻] 水壶；监牢"&amp;CHAR(10)&amp;"vt. 关押；放入壶中"&amp;CHAR(10)&amp;"vi. 模仿夜莺叫"&amp;CHAR(10)&amp;"n. (Jug)人名；(塞)尤格"</f>
        <v/>
      </c>
      <c r="G1088" s="18">
        <f>HYPERLINK("D:\python\英语学习\voices\"&amp;B1088&amp;"_1.mp3","BrE")</f>
        <v/>
      </c>
      <c r="H1088" s="18">
        <f>HYPERLINK("D:\python\英语学习\voices\"&amp;B1088&amp;"_2.mp3","AmE")</f>
        <v/>
      </c>
      <c r="I1088" s="18">
        <f>HYPERLINK("http://dict.youdao.com/w/"&amp;B1088,"有道")</f>
        <v/>
      </c>
    </row>
    <row r="1089">
      <c r="B1089" s="1" t="inlineStr">
        <is>
          <t>junction</t>
        </is>
      </c>
      <c r="C1089" s="7">
        <f>"n. 连接，接合；交叉点；接合点"</f>
        <v/>
      </c>
      <c r="G1089" s="18">
        <f>HYPERLINK("D:\python\英语学习\voices\"&amp;B1089&amp;"_1.mp3","BrE")</f>
        <v/>
      </c>
      <c r="H1089" s="18">
        <f>HYPERLINK("D:\python\英语学习\voices\"&amp;B1089&amp;"_2.mp3","AmE")</f>
        <v/>
      </c>
      <c r="I1089" s="18">
        <f>HYPERLINK("http://dict.youdao.com/w/"&amp;B1089,"有道")</f>
        <v/>
      </c>
    </row>
    <row customHeight="1" ht="29.1" r="1090">
      <c r="B1090" s="1" t="inlineStr">
        <is>
          <t>Jupiter</t>
        </is>
      </c>
      <c r="C1090" s="7">
        <f>"n. [天] 木星；朱庇特（罗马神话中的宙斯神）"</f>
        <v/>
      </c>
      <c r="E1090" s="6" t="inlineStr">
        <is>
          <t>x</t>
        </is>
      </c>
      <c r="G1090" s="18">
        <f>HYPERLINK("D:\python\英语学习\voices\"&amp;B1090&amp;"_1.mp3","BrE")</f>
        <v/>
      </c>
      <c r="H1090" s="18">
        <f>HYPERLINK("D:\python\英语学习\voices\"&amp;B1090&amp;"_2.mp3","AmE")</f>
        <v/>
      </c>
      <c r="I1090" s="18">
        <f>HYPERLINK("http://dict.youdao.com/w/"&amp;B1090,"有道")</f>
        <v/>
      </c>
    </row>
    <row customHeight="1" ht="28.5" r="1091">
      <c r="B1091" s="1" t="inlineStr">
        <is>
          <t>justify</t>
        </is>
      </c>
      <c r="C1091" s="7">
        <f>"vi. 证明合法；整理版面"&amp;CHAR(10)&amp;"vt. 证明…是正当的；替…辩护"</f>
        <v/>
      </c>
      <c r="E1091" s="6" t="inlineStr">
        <is>
          <t>证明…正当</t>
        </is>
      </c>
      <c r="G1091" s="18">
        <f>HYPERLINK("D:\python\英语学习\voices\"&amp;B1091&amp;"_1.mp3","BrE")</f>
        <v/>
      </c>
      <c r="H1091" s="18">
        <f>HYPERLINK("D:\python\英语学习\voices\"&amp;B1091&amp;"_2.mp3","AmE")</f>
        <v/>
      </c>
      <c r="I1091" s="18">
        <f>HYPERLINK("http://dict.youdao.com/w/"&amp;B1091,"有道")</f>
        <v/>
      </c>
    </row>
    <row customHeight="1" ht="57" r="1092">
      <c r="B1092" s="1" t="inlineStr">
        <is>
          <t>keen</t>
        </is>
      </c>
      <c r="C1092" s="7">
        <f>"adj. 敏锐的，敏捷的；渴望的；强烈的；热心的；锐利的"&amp;CHAR(10)&amp;"n. 痛哭，挽歌"&amp;CHAR(10)&amp;"n. (Keen)人名；(英)基恩；(德)肯；(肯)金"</f>
        <v/>
      </c>
      <c r="E1092" s="6" t="inlineStr">
        <is>
          <t>好多意思</t>
        </is>
      </c>
      <c r="G1092" s="18">
        <f>HYPERLINK("D:\python\英语学习\voices\"&amp;B1092&amp;"_1.mp3","BrE")</f>
        <v/>
      </c>
      <c r="H1092" s="18">
        <f>HYPERLINK("D:\python\英语学习\voices\"&amp;B1092&amp;"_2.mp3","AmE")</f>
        <v/>
      </c>
      <c r="I1092" s="18">
        <f>HYPERLINK("http://dict.youdao.com/w/"&amp;B1092,"有道")</f>
        <v/>
      </c>
    </row>
    <row customHeight="1" ht="28.5" r="1093">
      <c r="B1093" s="1" t="inlineStr">
        <is>
          <t>kernel</t>
        </is>
      </c>
      <c r="C1093" s="7">
        <f>"n. 核心，要点；[计] 内核；仁；麦粒，谷粒；精髓"</f>
        <v/>
      </c>
      <c r="D1093" s="6" t="inlineStr">
        <is>
          <t>ancient kernel 古代核心</t>
        </is>
      </c>
      <c r="G1093" s="18">
        <f>HYPERLINK("D:\python\英语学习\voices\"&amp;B1093&amp;"_1.mp3","BrE")</f>
        <v/>
      </c>
      <c r="H1093" s="18">
        <f>HYPERLINK("D:\python\英语学习\voices\"&amp;B1093&amp;"_2.mp3","AmE")</f>
        <v/>
      </c>
      <c r="I1093" s="18">
        <f>HYPERLINK("http://dict.youdao.com/w/"&amp;B1093,"有道")</f>
        <v/>
      </c>
    </row>
    <row customHeight="1" ht="57" r="1094">
      <c r="B1094" s="1" t="inlineStr">
        <is>
          <t>kin</t>
        </is>
      </c>
      <c r="C1094" s="7">
        <f>"n. 亲戚；家族；同族"&amp;CHAR(10)&amp;"adj. 同类的；有亲属关系的；性质类似的"&amp;CHAR(10)&amp;"n. (Kin)人名；(缅)庆；(朝)紧；(匈、柬、塞)金；(中)金(普通话·威妥玛)"</f>
        <v/>
      </c>
      <c r="G1094" s="18">
        <f>HYPERLINK("D:\python\英语学习\voices\"&amp;B1094&amp;"_1.mp3","BrE")</f>
        <v/>
      </c>
      <c r="H1094" s="18">
        <f>HYPERLINK("D:\python\英语学习\voices\"&amp;B1094&amp;"_2.mp3","AmE")</f>
        <v/>
      </c>
      <c r="I1094" s="18">
        <f>HYPERLINK("http://dict.youdao.com/w/"&amp;B1094,"有道")</f>
        <v/>
      </c>
    </row>
    <row customHeight="1" ht="28.5" r="1095">
      <c r="B1095" s="1" t="inlineStr">
        <is>
          <t>kindle</t>
        </is>
      </c>
      <c r="C1095" s="7">
        <f>"vt. 点燃；激起；照亮"&amp;CHAR(10)&amp;"vi. 发亮；着火；激动起来"</f>
        <v/>
      </c>
      <c r="G1095" s="18">
        <f>HYPERLINK("D:\python\英语学习\voices\"&amp;B1095&amp;"_1.mp3","BrE")</f>
        <v/>
      </c>
      <c r="H1095" s="18">
        <f>HYPERLINK("D:\python\英语学习\voices\"&amp;B1095&amp;"_2.mp3","AmE")</f>
        <v/>
      </c>
      <c r="I1095" s="18">
        <f>HYPERLINK("http://dict.youdao.com/w/"&amp;B1095,"有道")</f>
        <v/>
      </c>
    </row>
    <row r="1096">
      <c r="B1096" s="1" t="inlineStr">
        <is>
          <t>kiosk</t>
        </is>
      </c>
      <c r="C1096" s="7">
        <f>"n. 凉亭；公用电话亭；报摊"</f>
        <v/>
      </c>
      <c r="G1096" s="18">
        <f>HYPERLINK("D:\python\英语学习\voices\"&amp;B1096&amp;"_1.mp3","BrE")</f>
        <v/>
      </c>
      <c r="H1096" s="18">
        <f>HYPERLINK("D:\python\英语学习\voices\"&amp;B1096&amp;"_2.mp3","AmE")</f>
        <v/>
      </c>
      <c r="I1096" s="18">
        <f>HYPERLINK("http://dict.youdao.com/w/"&amp;B1096,"有道")</f>
        <v/>
      </c>
    </row>
    <row customHeight="1" ht="42.75" r="1097">
      <c r="B1097" s="1" t="inlineStr">
        <is>
          <t>knit</t>
        </is>
      </c>
      <c r="C1097" s="7">
        <f>"vi. 编织；结合；皱眉"&amp;CHAR(10)&amp;"vt. 编织；结合"&amp;CHAR(10)&amp;"n. 编织衣物；编织法"</f>
        <v/>
      </c>
      <c r="G1097" s="18">
        <f>HYPERLINK("D:\python\英语学习\voices\"&amp;B1097&amp;"_1.mp3","BrE")</f>
        <v/>
      </c>
      <c r="H1097" s="18">
        <f>HYPERLINK("D:\python\英语学习\voices\"&amp;B1097&amp;"_2.mp3","AmE")</f>
        <v/>
      </c>
      <c r="I1097" s="18">
        <f>HYPERLINK("http://dict.youdao.com/w/"&amp;B1097,"有道")</f>
        <v/>
      </c>
    </row>
    <row customHeight="1" ht="57" r="1098">
      <c r="B1098" s="1" t="inlineStr">
        <is>
          <t>knob</t>
        </is>
      </c>
      <c r="C1098" s="7">
        <f>"n. 把手；瘤；球形突出物"&amp;CHAR(10)&amp;"vi. 鼓起"&amp;CHAR(10)&amp;"vt. 使有球形突出物"&amp;CHAR(10)&amp;"n. (Knob)人名；(匈、捷)克诺布"</f>
        <v/>
      </c>
      <c r="G1098" s="18">
        <f>HYPERLINK("D:\python\英语学习\voices\"&amp;B1098&amp;"_1.mp3","BrE")</f>
        <v/>
      </c>
      <c r="H1098" s="18">
        <f>HYPERLINK("D:\python\英语学习\voices\"&amp;B1098&amp;"_2.mp3","AmE")</f>
        <v/>
      </c>
      <c r="I1098" s="18">
        <f>HYPERLINK("http://dict.youdao.com/w/"&amp;B1098,"有道")</f>
        <v/>
      </c>
    </row>
    <row customHeight="1" ht="57" r="1099">
      <c r="B1099" s="1" t="inlineStr">
        <is>
          <t>lame</t>
        </is>
      </c>
      <c r="C1099" s="7">
        <f>"adj. 跛足的；僵痛的；不完全的；无说服力的；差劲的，蹩脚的"&amp;CHAR(10)&amp;"vi. 变跛"&amp;CHAR(10)&amp;"vt. 使跛；使成残废"</f>
        <v/>
      </c>
      <c r="G1099" s="18">
        <f>HYPERLINK("D:\python\英语学习\voices\"&amp;B1099&amp;"_1.mp3","BrE")</f>
        <v/>
      </c>
      <c r="H1099" s="18">
        <f>HYPERLINK("D:\python\英语学习\voices\"&amp;B1099&amp;"_2.mp3","AmE")</f>
        <v/>
      </c>
      <c r="I1099" s="18">
        <f>HYPERLINK("http://dict.youdao.com/w/"&amp;B1099,"有道")</f>
        <v/>
      </c>
    </row>
    <row customHeight="1" ht="85.5" r="1100">
      <c r="B1100" s="1" t="inlineStr">
        <is>
          <t>landscape</t>
        </is>
      </c>
      <c r="C1100" s="7">
        <f>"n. 风景；风景画；景色；山水画；乡村风景画；地形；（文件的）横向打印格式"&amp;CHAR(10)&amp;"vt. 对…做景观美化，给…做园林美化；从事庭园设计"&amp;CHAR(10)&amp;"vi. 美化（环境等），使景色宜人；从事景观美化工作，做庭园设计师"</f>
        <v/>
      </c>
      <c r="G1100" s="18">
        <f>HYPERLINK("D:\python\英语学习\voices\"&amp;B1100&amp;"_1.mp3","BrE")</f>
        <v/>
      </c>
      <c r="H1100" s="18">
        <f>HYPERLINK("D:\python\英语学习\voices\"&amp;B1100&amp;"_2.mp3","AmE")</f>
        <v/>
      </c>
      <c r="I1100" s="18">
        <f>HYPERLINK("http://dict.youdao.com/w/"&amp;B1100,"有道")</f>
        <v/>
      </c>
    </row>
    <row customHeight="1" ht="42.75" r="1101">
      <c r="B1101" s="1" t="inlineStr">
        <is>
          <t>lapse</t>
        </is>
      </c>
      <c r="C1101" s="7">
        <f>"n. 小错；过失；行为失检"&amp;CHAR(10)&amp;"v. （时间）流逝；（合同）终止；背弃（宗教信仰）"</f>
        <v/>
      </c>
      <c r="E1101" s="6" t="inlineStr">
        <is>
          <t>lapse into coma陷入昏迷</t>
        </is>
      </c>
      <c r="G1101" s="18">
        <f>HYPERLINK("D:\python\英语学习\voices\"&amp;B1101&amp;"_1.mp3","BrE")</f>
        <v/>
      </c>
      <c r="H1101" s="18">
        <f>HYPERLINK("D:\python\英语学习\voices\"&amp;B1101&amp;"_2.mp3","AmE")</f>
        <v/>
      </c>
      <c r="I1101" s="18">
        <f>HYPERLINK("http://dict.youdao.com/w/"&amp;B1101,"有道")</f>
        <v/>
      </c>
    </row>
    <row r="1102">
      <c r="B1102" s="1" t="inlineStr">
        <is>
          <t>largely</t>
        </is>
      </c>
      <c r="C1102" s="7">
        <f>"adv. 主要地；大部分；大量地"</f>
        <v/>
      </c>
      <c r="G1102" s="18">
        <f>HYPERLINK("D:\python\英语学习\voices\"&amp;B1102&amp;"_1.mp3","BrE")</f>
        <v/>
      </c>
      <c r="H1102" s="18">
        <f>HYPERLINK("D:\python\英语学习\voices\"&amp;B1102&amp;"_2.mp3","AmE")</f>
        <v/>
      </c>
      <c r="I1102" s="18">
        <f>HYPERLINK("http://dict.youdao.com/w/"&amp;B1102,"有道")</f>
        <v/>
      </c>
    </row>
    <row customHeight="1" ht="57" r="1103">
      <c r="B1103" s="1" t="inlineStr">
        <is>
          <t>lark</t>
        </is>
      </c>
      <c r="C1103" s="7">
        <f>"n. 云雀；百灵鸟；欢乐"&amp;CHAR(10)&amp;"vi. 骑马玩乐；嬉耍"&amp;CHAR(10)&amp;"vt. 愚弄"&amp;CHAR(10)&amp;"n. (Lark)人名；(东南亚国家华语)六"</f>
        <v/>
      </c>
      <c r="G1103" s="18">
        <f>HYPERLINK("D:\python\英语学习\voices\"&amp;B1103&amp;"_1.mp3","BrE")</f>
        <v/>
      </c>
      <c r="H1103" s="18">
        <f>HYPERLINK("D:\python\英语学习\voices\"&amp;B1103&amp;"_2.mp3","AmE")</f>
        <v/>
      </c>
      <c r="I1103" s="18">
        <f>HYPERLINK("http://dict.youdao.com/w/"&amp;B1103,"有道")</f>
        <v/>
      </c>
    </row>
    <row customHeight="1" ht="28.5" r="1104">
      <c r="B1104" s="1" t="inlineStr">
        <is>
          <t>larva</t>
        </is>
      </c>
      <c r="C1104" s="7">
        <f>"n. [水产] 幼体，[昆] 幼虫"&amp;CHAR(10)&amp;"n. (Larva)人名；(芬、捷)拉尔瓦"</f>
        <v/>
      </c>
      <c r="G1104" s="18">
        <f>HYPERLINK("D:\python\英语学习\voices\"&amp;B1104&amp;"_1.mp3","BrE")</f>
        <v/>
      </c>
      <c r="H1104" s="18">
        <f>HYPERLINK("D:\python\英语学习\voices\"&amp;B1104&amp;"_2.mp3","AmE")</f>
        <v/>
      </c>
      <c r="I1104" s="18">
        <f>HYPERLINK("http://dict.youdao.com/w/"&amp;B1104,"有道")</f>
        <v/>
      </c>
    </row>
    <row customHeight="1" ht="57" r="1105">
      <c r="B1105" s="1" t="inlineStr">
        <is>
          <t>lash</t>
        </is>
      </c>
      <c r="C1105" s="7">
        <f>"vt. 鞭打；冲击；摆动；扎捆；煽动；讽刺"&amp;CHAR(10)&amp;"vi. 鞭打；猛击；急速甩动"&amp;CHAR(10)&amp;"n. 鞭打；睫毛；鞭子；责骂；讽刺"&amp;CHAR(10)&amp;"n. (Lash)人名；(英)拉希"</f>
        <v/>
      </c>
      <c r="G1105" s="18">
        <f>HYPERLINK("D:\python\英语学习\voices\"&amp;B1105&amp;"_1.mp3","BrE")</f>
        <v/>
      </c>
      <c r="H1105" s="18">
        <f>HYPERLINK("D:\python\英语学习\voices\"&amp;B1105&amp;"_2.mp3","AmE")</f>
        <v/>
      </c>
      <c r="I1105" s="18">
        <f>HYPERLINK("http://dict.youdao.com/w/"&amp;B1105,"有道")</f>
        <v/>
      </c>
    </row>
    <row customHeight="1" ht="42.75" r="1106">
      <c r="A1106" s="1" t="inlineStr">
        <is>
          <t>unnecessary</t>
        </is>
      </c>
      <c r="B1106" s="1" t="inlineStr">
        <is>
          <t>lateral</t>
        </is>
      </c>
      <c r="C1106" s="7">
        <f>"adj. 侧面的，横向的"&amp;CHAR(10)&amp;"n. 侧部；[语] 边音"&amp;CHAR(10)&amp;"vt. 横向传球"</f>
        <v/>
      </c>
      <c r="G1106" s="18">
        <f>HYPERLINK("D:\python\英语学习\voices\"&amp;B1106&amp;"_1.mp3","BrE")</f>
        <v/>
      </c>
      <c r="H1106" s="18">
        <f>HYPERLINK("D:\python\英语学习\voices\"&amp;B1106&amp;"_2.mp3","AmE")</f>
        <v/>
      </c>
      <c r="I1106" s="18">
        <f>HYPERLINK("http://dict.youdao.com/w/"&amp;B1106,"有道")</f>
        <v/>
      </c>
    </row>
    <row r="1107">
      <c r="B1107" s="1" t="inlineStr">
        <is>
          <t>lavatory</t>
        </is>
      </c>
      <c r="C1107" s="7">
        <f>"n. 厕所，盥洗室"</f>
        <v/>
      </c>
      <c r="G1107" s="18">
        <f>HYPERLINK("D:\python\英语学习\voices\"&amp;B1107&amp;"_1.mp3","BrE")</f>
        <v/>
      </c>
      <c r="H1107" s="18">
        <f>HYPERLINK("D:\python\英语学习\voices\"&amp;B1107&amp;"_2.mp3","AmE")</f>
        <v/>
      </c>
      <c r="I1107" s="18">
        <f>HYPERLINK("http://dict.youdao.com/w/"&amp;B1107,"有道")</f>
        <v/>
      </c>
    </row>
    <row customHeight="1" ht="28.5" r="1108">
      <c r="B1108" s="1" t="inlineStr">
        <is>
          <t>lavish</t>
        </is>
      </c>
      <c r="C1108" s="7">
        <f>"adj. 浪费的；丰富的；大方的"&amp;CHAR(10)&amp;"vt. 浪费；慷慨给予；滥用"</f>
        <v/>
      </c>
      <c r="E1108" s="16" t="inlineStr">
        <is>
          <t>注意发音-重音在l</t>
        </is>
      </c>
      <c r="F1108" s="15">
        <f>"The Jury was divided in opinion, but they were all lavish in their praise for the correct conduct of the criminal's wife.
陪审团意见有分歧，但是他们都极力称赞犯罪分子的妻子的善行。"</f>
        <v/>
      </c>
      <c r="G1108" s="18">
        <f>HYPERLINK("D:\python\英语学习\voices\"&amp;B1108&amp;"_1.mp3","BrE")</f>
        <v/>
      </c>
      <c r="H1108" s="18">
        <f>HYPERLINK("D:\python\英语学习\voices\"&amp;B1108&amp;"_2.mp3","AmE")</f>
        <v/>
      </c>
      <c r="I1108" s="18">
        <f>HYPERLINK("http://dict.youdao.com/w/"&amp;B1108,"有道")</f>
        <v/>
      </c>
    </row>
    <row customHeight="1" ht="28.5" r="1109">
      <c r="B1109" s="1" t="inlineStr">
        <is>
          <t>layman</t>
        </is>
      </c>
      <c r="C1109" s="7">
        <f>"n. 外行；门外汉；俗人；一般信徒"&amp;CHAR(10)&amp;"n. (Layman)人名；(英)莱曼"</f>
        <v/>
      </c>
      <c r="E1109" s="6" t="inlineStr">
        <is>
          <t>对僧人而言的俗人</t>
        </is>
      </c>
      <c r="G1109" s="18">
        <f>HYPERLINK("D:\python\英语学习\voices\"&amp;B1109&amp;"_1.mp3","BrE")</f>
        <v/>
      </c>
      <c r="H1109" s="18">
        <f>HYPERLINK("D:\python\英语学习\voices\"&amp;B1109&amp;"_2.mp3","AmE")</f>
        <v/>
      </c>
      <c r="I1109" s="18">
        <f>HYPERLINK("http://dict.youdao.com/w/"&amp;B1109,"有道")</f>
        <v/>
      </c>
    </row>
    <row customHeight="1" ht="28.5" r="1110">
      <c r="B1110" s="1" t="inlineStr">
        <is>
          <t>layoff</t>
        </is>
      </c>
      <c r="C1110" s="7">
        <f>"n. 活动停止期间；临时解雇；操作停止；失业期"</f>
        <v/>
      </c>
      <c r="G1110" s="18">
        <f>HYPERLINK("D:\python\英语学习\voices\"&amp;B1110&amp;"_1.mp3","BrE")</f>
        <v/>
      </c>
      <c r="H1110" s="18">
        <f>HYPERLINK("D:\python\英语学习\voices\"&amp;B1110&amp;"_2.mp3","AmE")</f>
        <v/>
      </c>
      <c r="I1110" s="18">
        <f>HYPERLINK("http://dict.youdao.com/w/"&amp;B1110,"有道")</f>
        <v/>
      </c>
    </row>
    <row r="1111">
      <c r="B1111" s="1" t="inlineStr">
        <is>
          <t>layout</t>
        </is>
      </c>
      <c r="C1111" s="7">
        <f>"n. 布局；设计；安排；陈列"</f>
        <v/>
      </c>
      <c r="G1111" s="18">
        <f>HYPERLINK("D:\python\英语学习\voices\"&amp;B1111&amp;"_1.mp3","BrE")</f>
        <v/>
      </c>
      <c r="H1111" s="18">
        <f>HYPERLINK("D:\python\英语学习\voices\"&amp;B1111&amp;"_2.mp3","AmE")</f>
        <v/>
      </c>
      <c r="I1111" s="18">
        <f>HYPERLINK("http://dict.youdao.com/w/"&amp;B1111,"有道")</f>
        <v/>
      </c>
    </row>
    <row customHeight="1" ht="42.75" r="1112">
      <c r="B1112" s="1" t="inlineStr">
        <is>
          <t>leading</t>
        </is>
      </c>
      <c r="C1112" s="7">
        <f>"adj. 领导的；主要的"&amp;CHAR(10)&amp;"n. 领导；铅板；行距"&amp;CHAR(10)&amp;"v. 领导（lead的ing形式）"</f>
        <v/>
      </c>
      <c r="G1112" s="18">
        <f>HYPERLINK("D:\python\英语学习\voices\"&amp;B1112&amp;"_1.mp3","BrE")</f>
        <v/>
      </c>
      <c r="H1112" s="18">
        <f>HYPERLINK("D:\python\英语学习\voices\"&amp;B1112&amp;"_2.mp3","AmE")</f>
        <v/>
      </c>
      <c r="I1112" s="18">
        <f>HYPERLINK("http://dict.youdao.com/w/"&amp;B1112,"有道")</f>
        <v/>
      </c>
    </row>
    <row customHeight="1" ht="42.75" r="1113">
      <c r="B1113" s="1" t="inlineStr">
        <is>
          <t>lease</t>
        </is>
      </c>
      <c r="C1113" s="7">
        <f>"n. 租约；租期；租赁物；租赁权"&amp;CHAR(10)&amp;"vt. 出租；租得"&amp;CHAR(10)&amp;"vi. 出租"</f>
        <v/>
      </c>
      <c r="G1113" s="18">
        <f>HYPERLINK("D:\python\英语学习\voices\"&amp;B1113&amp;"_1.mp3","BrE")</f>
        <v/>
      </c>
      <c r="H1113" s="18">
        <f>HYPERLINK("D:\python\英语学习\voices\"&amp;B1113&amp;"_2.mp3","AmE")</f>
        <v/>
      </c>
      <c r="I1113" s="18">
        <f>HYPERLINK("http://dict.youdao.com/w/"&amp;B1113,"有道")</f>
        <v/>
      </c>
    </row>
    <row customHeight="1" ht="57" r="1114">
      <c r="B1114" s="1" t="inlineStr">
        <is>
          <t>leather</t>
        </is>
      </c>
      <c r="C1114" s="7">
        <f>"n. 皮革；皮革制品"&amp;CHAR(10)&amp;"vt. 用皮革包盖；抽打"&amp;CHAR(10)&amp;"adj. 皮的；皮革制的"&amp;CHAR(10)&amp;"n. (Leather)人名；(英)莱瑟"</f>
        <v/>
      </c>
      <c r="G1114" s="18">
        <f>HYPERLINK("D:\python\英语学习\voices\"&amp;B1114&amp;"_1.mp3","BrE")</f>
        <v/>
      </c>
      <c r="H1114" s="18">
        <f>HYPERLINK("D:\python\英语学习\voices\"&amp;B1114&amp;"_2.mp3","AmE")</f>
        <v/>
      </c>
      <c r="I1114" s="18">
        <f>HYPERLINK("http://dict.youdao.com/w/"&amp;B1114,"有道")</f>
        <v/>
      </c>
    </row>
    <row customHeight="1" ht="28.5" r="1115">
      <c r="B1115" s="1" t="inlineStr">
        <is>
          <t>legion</t>
        </is>
      </c>
      <c r="C1115" s="7">
        <f>"n. （古罗马）军团；众多；军队"&amp;CHAR(10)&amp;"adj. 众多的；大量的"</f>
        <v/>
      </c>
      <c r="G1115" s="18">
        <f>HYPERLINK("D:\python\英语学习\voices\"&amp;B1115&amp;"_1.mp3","BrE")</f>
        <v/>
      </c>
      <c r="H1115" s="18">
        <f>HYPERLINK("D:\python\英语学习\voices\"&amp;B1115&amp;"_2.mp3","AmE")</f>
        <v/>
      </c>
      <c r="I1115" s="18">
        <f>HYPERLINK("http://dict.youdao.com/w/"&amp;B1115,"有道")</f>
        <v/>
      </c>
    </row>
    <row r="1116">
      <c r="B1116" s="1" t="inlineStr">
        <is>
          <t>legislation</t>
        </is>
      </c>
      <c r="C1116" s="7">
        <f>"n. 立法；法律"</f>
        <v/>
      </c>
      <c r="G1116" s="18">
        <f>HYPERLINK("D:\python\英语学习\voices\"&amp;B1116&amp;"_1.mp3","BrE")</f>
        <v/>
      </c>
      <c r="H1116" s="18">
        <f>HYPERLINK("D:\python\英语学习\voices\"&amp;B1116&amp;"_2.mp3","AmE")</f>
        <v/>
      </c>
      <c r="I1116" s="18">
        <f>HYPERLINK("http://dict.youdao.com/w/"&amp;B1116,"有道")</f>
        <v/>
      </c>
    </row>
    <row customHeight="1" ht="42.75" r="1117">
      <c r="B1117" s="1" t="inlineStr">
        <is>
          <t>leisure</t>
        </is>
      </c>
      <c r="C1117" s="7">
        <f>"n. 闲暇；空闲；安逸"&amp;CHAR(10)&amp;"adj. 空闲的；有闲的；业余的"&amp;CHAR(10)&amp;"n. (Leisure)人名；(英)莱热"</f>
        <v/>
      </c>
      <c r="E1117" s="6" t="inlineStr">
        <is>
          <t>注意发音</t>
        </is>
      </c>
      <c r="G1117" s="18">
        <f>HYPERLINK("D:\python\英语学习\voices\"&amp;B1117&amp;"_1.mp3","BrE")</f>
        <v/>
      </c>
      <c r="H1117" s="18">
        <f>HYPERLINK("D:\python\英语学习\voices\"&amp;B1117&amp;"_2.mp3","AmE")</f>
        <v/>
      </c>
      <c r="I1117" s="18">
        <f>HYPERLINK("http://dict.youdao.com/w/"&amp;B1117,"有道")</f>
        <v/>
      </c>
    </row>
    <row r="1118">
      <c r="B1118" s="1" t="inlineStr">
        <is>
          <t>lesion</t>
        </is>
      </c>
      <c r="C1118" s="7">
        <f>"n. 损害；身体上的伤害；机能障碍"</f>
        <v/>
      </c>
      <c r="G1118" s="18">
        <f>HYPERLINK("D:\python\英语学习\voices\"&amp;B1118&amp;"_1.mp3","BrE")</f>
        <v/>
      </c>
      <c r="H1118" s="18">
        <f>HYPERLINK("D:\python\英语学习\voices\"&amp;B1118&amp;"_2.mp3","AmE")</f>
        <v/>
      </c>
      <c r="I1118" s="18">
        <f>HYPERLINK("http://dict.youdao.com/w/"&amp;B1118,"有道")</f>
        <v/>
      </c>
    </row>
    <row r="1119">
      <c r="B1119" s="1" t="inlineStr">
        <is>
          <t>lest</t>
        </is>
      </c>
      <c r="C1119" s="7">
        <f>"conj. 唯恐，以免；担心"</f>
        <v/>
      </c>
      <c r="G1119" s="18">
        <f>HYPERLINK("D:\python\英语学习\voices\"&amp;B1119&amp;"_1.mp3","BrE")</f>
        <v/>
      </c>
      <c r="H1119" s="18">
        <f>HYPERLINK("D:\python\英语学习\voices\"&amp;B1119&amp;"_2.mp3","AmE")</f>
        <v/>
      </c>
      <c r="I1119" s="18">
        <f>HYPERLINK("http://dict.youdao.com/w/"&amp;B1119,"有道")</f>
        <v/>
      </c>
    </row>
    <row customHeight="1" ht="28.5" r="1120">
      <c r="B1120" s="1" t="inlineStr">
        <is>
          <t>lethal</t>
        </is>
      </c>
      <c r="C1120" s="7">
        <f>"adj. 致命的，致死的"&amp;CHAR(10)&amp;"n. 致死因子"</f>
        <v/>
      </c>
      <c r="G1120" s="18">
        <f>HYPERLINK("D:\python\英语学习\voices\"&amp;B1120&amp;"_1.mp3","BrE")</f>
        <v/>
      </c>
      <c r="H1120" s="18">
        <f>HYPERLINK("D:\python\英语学习\voices\"&amp;B1120&amp;"_2.mp3","AmE")</f>
        <v/>
      </c>
      <c r="I1120" s="18">
        <f>HYPERLINK("http://dict.youdao.com/w/"&amp;B1120,"有道")</f>
        <v/>
      </c>
    </row>
    <row r="1121">
      <c r="A1121" s="1" t="inlineStr">
        <is>
          <t>unnecessary</t>
        </is>
      </c>
      <c r="B1121" s="1" t="inlineStr">
        <is>
          <t>leukemia</t>
        </is>
      </c>
      <c r="C1121" s="7">
        <f>"n. [内科][肿瘤] 白血病"</f>
        <v/>
      </c>
      <c r="G1121" s="18">
        <f>HYPERLINK("D:\python\英语学习\voices\"&amp;B1121&amp;"_1.mp3","BrE")</f>
        <v/>
      </c>
      <c r="H1121" s="18">
        <f>HYPERLINK("D:\python\英语学习\voices\"&amp;B1121&amp;"_2.mp3","AmE")</f>
        <v/>
      </c>
      <c r="I1121" s="18">
        <f>HYPERLINK("http://dict.youdao.com/w/"&amp;B1121,"有道")</f>
        <v/>
      </c>
    </row>
    <row customHeight="1" ht="85.5" r="1122">
      <c r="B1122" s="1" t="inlineStr">
        <is>
          <t>levy</t>
        </is>
      </c>
      <c r="C1122" s="7">
        <f>"n. 征收；征兵，征税"&amp;CHAR(10)&amp;"vt. 征收（税等）；征集（兵等）；发动（战争）"&amp;CHAR(10)&amp;"vi. 征税；征兵"&amp;CHAR(10)&amp;"n. (Levy)人名；(西、意、葡、芬、法、瑞典)莱维；(英、以)利维"</f>
        <v/>
      </c>
      <c r="G1122" s="18">
        <f>HYPERLINK("D:\python\英语学习\voices\"&amp;B1122&amp;"_1.mp3","BrE")</f>
        <v/>
      </c>
      <c r="H1122" s="18">
        <f>HYPERLINK("D:\python\英语学习\voices\"&amp;B1122&amp;"_2.mp3","AmE")</f>
        <v/>
      </c>
      <c r="I1122" s="18">
        <f>HYPERLINK("http://dict.youdao.com/w/"&amp;B1122,"有道")</f>
        <v/>
      </c>
    </row>
    <row r="1123">
      <c r="B1123" s="1" t="inlineStr">
        <is>
          <t>lexicon</t>
        </is>
      </c>
      <c r="C1123" s="7">
        <f>"n. 词典，辞典"</f>
        <v/>
      </c>
      <c r="G1123" s="18">
        <f>HYPERLINK("D:\python\英语学习\voices\"&amp;B1123&amp;"_1.mp3","BrE")</f>
        <v/>
      </c>
      <c r="H1123" s="18">
        <f>HYPERLINK("D:\python\英语学习\voices\"&amp;B1123&amp;"_2.mp3","AmE")</f>
        <v/>
      </c>
      <c r="I1123" s="18">
        <f>HYPERLINK("http://dict.youdao.com/w/"&amp;B1123,"有道")</f>
        <v/>
      </c>
    </row>
    <row customHeight="1" ht="42.75" r="1124">
      <c r="B1124" s="1" t="inlineStr">
        <is>
          <t>libel</t>
        </is>
      </c>
      <c r="C1124" s="7">
        <f>"n. 诽谤罪；诋毁；毁坏名誉的东西；控诉书"&amp;CHAR(10)&amp;"vt. 中伤；控告；对…进行诽谤"&amp;CHAR(10)&amp;"vi. 进行文字诽谤"</f>
        <v/>
      </c>
      <c r="E1124" s="6" t="inlineStr">
        <is>
          <t>注意拼写</t>
        </is>
      </c>
      <c r="G1124" s="18">
        <f>HYPERLINK("D:\python\英语学习\voices\"&amp;B1124&amp;"_1.mp3","BrE")</f>
        <v/>
      </c>
      <c r="H1124" s="18">
        <f>HYPERLINK("D:\python\英语学习\voices\"&amp;B1124&amp;"_2.mp3","AmE")</f>
        <v/>
      </c>
      <c r="I1124" s="18">
        <f>HYPERLINK("http://dict.youdao.com/w/"&amp;B1124,"有道")</f>
        <v/>
      </c>
    </row>
    <row r="1125">
      <c r="B1125" s="1" t="inlineStr">
        <is>
          <t>likelihood</t>
        </is>
      </c>
      <c r="C1125" s="7">
        <f>"n. 可能性，可能"</f>
        <v/>
      </c>
      <c r="G1125" s="18">
        <f>HYPERLINK("D:\python\英语学习\voices\"&amp;B1125&amp;"_1.mp3","BrE")</f>
        <v/>
      </c>
      <c r="H1125" s="18">
        <f>HYPERLINK("D:\python\英语学习\voices\"&amp;B1125&amp;"_2.mp3","AmE")</f>
        <v/>
      </c>
      <c r="I1125" s="18">
        <f>HYPERLINK("http://dict.youdao.com/w/"&amp;B1125,"有道")</f>
        <v/>
      </c>
    </row>
    <row customHeight="1" ht="42.75" r="1126">
      <c r="B1126" s="1" t="inlineStr">
        <is>
          <t>limb</t>
        </is>
      </c>
      <c r="C1126" s="7">
        <f>"n. 肢，臂；分支；枝干"&amp;CHAR(10)&amp;"vt. 切断…的手足；从…上截下树枝"&amp;CHAR(10)&amp;"n. (Limb)人名；(朝)林；(英)利姆"</f>
        <v/>
      </c>
      <c r="G1126" s="18">
        <f>HYPERLINK("D:\python\英语学习\voices\"&amp;B1126&amp;"_1.mp3","BrE")</f>
        <v/>
      </c>
      <c r="H1126" s="18">
        <f>HYPERLINK("D:\python\英语学习\voices\"&amp;B1126&amp;"_2.mp3","AmE")</f>
        <v/>
      </c>
      <c r="I1126" s="18">
        <f>HYPERLINK("http://dict.youdao.com/w/"&amp;B1126,"有道")</f>
        <v/>
      </c>
    </row>
    <row r="1127">
      <c r="B1127" s="1" t="inlineStr">
        <is>
          <t>limestone</t>
        </is>
      </c>
      <c r="C1127" s="7">
        <f>"n. [岩] 石灰岩"</f>
        <v/>
      </c>
      <c r="G1127" s="18">
        <f>HYPERLINK("D:\python\英语学习\voices\"&amp;B1127&amp;"_1.mp3","BrE")</f>
        <v/>
      </c>
      <c r="H1127" s="18">
        <f>HYPERLINK("D:\python\英语学习\voices\"&amp;B1127&amp;"_2.mp3","AmE")</f>
        <v/>
      </c>
      <c r="I1127" s="18">
        <f>HYPERLINK("http://dict.youdao.com/w/"&amp;B1127,"有道")</f>
        <v/>
      </c>
    </row>
    <row customHeight="1" ht="57" r="1128">
      <c r="B1128" s="1" t="inlineStr">
        <is>
          <t>limp</t>
        </is>
      </c>
      <c r="C1128" s="7">
        <f>"adj. 柔软的，无力的；软弱的"&amp;CHAR(10)&amp;"vi. 跛行，一拐一拐地走；缓慢费力地前进"&amp;CHAR(10)&amp;"n. 跛行"&amp;CHAR(10)&amp;"n. (Limp)人名；(英)林普"</f>
        <v/>
      </c>
      <c r="G1128" s="18">
        <f>HYPERLINK("D:\python\英语学习\voices\"&amp;B1128&amp;"_1.mp3","BrE")</f>
        <v/>
      </c>
      <c r="H1128" s="18">
        <f>HYPERLINK("D:\python\英语学习\voices\"&amp;B1128&amp;"_2.mp3","AmE")</f>
        <v/>
      </c>
      <c r="I1128" s="18">
        <f>HYPERLINK("http://dict.youdao.com/w/"&amp;B1128,"有道")</f>
        <v/>
      </c>
    </row>
    <row customHeight="1" ht="57" r="1129">
      <c r="A1129" s="1" t="inlineStr">
        <is>
          <t>practice</t>
        </is>
      </c>
      <c r="B1129" s="1" t="inlineStr">
        <is>
          <t>brisk</t>
        </is>
      </c>
      <c r="C1129" s="7">
        <f>"adj. 敏锐的，活泼的，轻快的；凛冽的"&amp;CHAR(10)&amp;"vi. 活跃起来；变得轻快"&amp;CHAR(10)&amp;"vt. 使……活泼；使……轻快；使……兴旺"&amp;CHAR(10)&amp;"n. (Brisk)人名；(法、芬)布里斯克"</f>
        <v/>
      </c>
      <c r="F1129" s="14">
        <f>"Taking a brisk walk can often induce a feeling of well-being."</f>
        <v/>
      </c>
      <c r="G1129" s="18">
        <f>HYPERLINK("D:\python\英语学习\voices\"&amp;B1129&amp;"_1.mp3","BrE")</f>
        <v/>
      </c>
      <c r="H1129" s="18">
        <f>HYPERLINK("D:\python\英语学习\voices\"&amp;B1129&amp;"_2.mp3","AmE")</f>
        <v/>
      </c>
      <c r="I1129" s="18">
        <f>HYPERLINK("http://dict.youdao.com/w/"&amp;B1129,"有道")</f>
        <v/>
      </c>
    </row>
    <row r="1130">
      <c r="B1130" s="1" t="inlineStr">
        <is>
          <t>linguistics</t>
        </is>
      </c>
      <c r="C1130" s="7">
        <f>"n. 语言学"</f>
        <v/>
      </c>
      <c r="G1130" s="18">
        <f>HYPERLINK("D:\python\英语学习\voices\"&amp;B1130&amp;"_1.mp3","BrE")</f>
        <v/>
      </c>
      <c r="H1130" s="18">
        <f>HYPERLINK("D:\python\英语学习\voices\"&amp;B1130&amp;"_2.mp3","AmE")</f>
        <v/>
      </c>
      <c r="I1130" s="18">
        <f>HYPERLINK("http://dict.youdao.com/w/"&amp;B1130,"有道")</f>
        <v/>
      </c>
    </row>
    <row r="1131">
      <c r="B1131" s="1" t="inlineStr">
        <is>
          <t>lipid</t>
        </is>
      </c>
      <c r="C1131" s="7">
        <f>"n. [生化] 脂质；油脂"</f>
        <v/>
      </c>
      <c r="G1131" s="18">
        <f>HYPERLINK("D:\python\英语学习\voices\"&amp;B1131&amp;"_1.mp3","BrE")</f>
        <v/>
      </c>
      <c r="H1131" s="18">
        <f>HYPERLINK("D:\python\英语学习\voices\"&amp;B1131&amp;"_2.mp3","AmE")</f>
        <v/>
      </c>
      <c r="I1131" s="18">
        <f>HYPERLINK("http://dict.youdao.com/w/"&amp;B1131,"有道")</f>
        <v/>
      </c>
    </row>
    <row r="1132">
      <c r="B1132" s="1" t="inlineStr">
        <is>
          <t>literal</t>
        </is>
      </c>
      <c r="C1132" s="7">
        <f>"adj. 文字的；逐字的；无夸张的"</f>
        <v/>
      </c>
      <c r="G1132" s="18">
        <f>HYPERLINK("D:\python\英语学习\voices\"&amp;B1132&amp;"_1.mp3","BrE")</f>
        <v/>
      </c>
      <c r="H1132" s="18">
        <f>HYPERLINK("D:\python\英语学习\voices\"&amp;B1132&amp;"_2.mp3","AmE")</f>
        <v/>
      </c>
      <c r="I1132" s="18">
        <f>HYPERLINK("http://dict.youdao.com/w/"&amp;B1132,"有道")</f>
        <v/>
      </c>
    </row>
    <row customHeight="1" ht="28.5" r="1133">
      <c r="B1133" s="1" t="inlineStr">
        <is>
          <t>literally</t>
        </is>
      </c>
      <c r="C1133" s="7">
        <f>"adv. 照字面地；逐字地；不夸张地；正确地；简直"</f>
        <v/>
      </c>
      <c r="E1133" s="6" t="inlineStr">
        <is>
          <t>take sth literally当真</t>
        </is>
      </c>
      <c r="G1133" s="18">
        <f>HYPERLINK("D:\python\英语学习\voices\"&amp;B1133&amp;"_1.mp3","BrE")</f>
        <v/>
      </c>
      <c r="H1133" s="18">
        <f>HYPERLINK("D:\python\英语学习\voices\"&amp;B1133&amp;"_2.mp3","AmE")</f>
        <v/>
      </c>
      <c r="I1133" s="18">
        <f>HYPERLINK("http://dict.youdao.com/w/"&amp;B1133,"有道")</f>
        <v/>
      </c>
    </row>
    <row customHeight="1" ht="42.75" r="1134">
      <c r="A1134" s="1" t="inlineStr">
        <is>
          <t>practice</t>
        </is>
      </c>
      <c r="B1134" s="1" t="inlineStr">
        <is>
          <t>censure</t>
        </is>
      </c>
      <c r="C1134" s="7">
        <f>"vt. 责难，责备"&amp;CHAR(10)&amp;"n. 责难"&amp;CHAR(10)&amp;"vi. 谴责，责备"</f>
        <v/>
      </c>
      <c r="G1134" s="18">
        <f>HYPERLINK("D:\python\英语学习\voices\"&amp;B1134&amp;"_1.mp3","BrE")</f>
        <v/>
      </c>
      <c r="H1134" s="18">
        <f>HYPERLINK("D:\python\英语学习\voices\"&amp;B1134&amp;"_2.mp3","AmE")</f>
        <v/>
      </c>
      <c r="I1134" s="18">
        <f>HYPERLINK("http://dict.youdao.com/w/"&amp;B1134,"有道")</f>
        <v/>
      </c>
    </row>
    <row r="1135">
      <c r="B1135" s="1" t="inlineStr">
        <is>
          <t>locality</t>
        </is>
      </c>
      <c r="C1135" s="7">
        <f>"n. 所在；位置；地点"</f>
        <v/>
      </c>
      <c r="G1135" s="18">
        <f>HYPERLINK("D:\python\英语学习\voices\"&amp;B1135&amp;"_1.mp3","BrE")</f>
        <v/>
      </c>
      <c r="H1135" s="18">
        <f>HYPERLINK("D:\python\英语学习\voices\"&amp;B1135&amp;"_2.mp3","AmE")</f>
        <v/>
      </c>
      <c r="I1135" s="18">
        <f>HYPERLINK("http://dict.youdao.com/w/"&amp;B1135,"有道")</f>
        <v/>
      </c>
    </row>
    <row customHeight="1" ht="42.75" r="1136">
      <c r="B1136" s="1" t="inlineStr">
        <is>
          <t>locker</t>
        </is>
      </c>
      <c r="C1136" s="7">
        <f>"n. 柜，箱；上锁的人；有锁的橱柜；锁扣装置；有锁的存物柜"&amp;CHAR(10)&amp;"n. (Locker)人名；(英、德、法)洛克"</f>
        <v/>
      </c>
      <c r="G1136" s="18">
        <f>HYPERLINK("D:\python\英语学习\voices\"&amp;B1136&amp;"_1.mp3","BrE")</f>
        <v/>
      </c>
      <c r="H1136" s="18">
        <f>HYPERLINK("D:\python\英语学习\voices\"&amp;B1136&amp;"_2.mp3","AmE")</f>
        <v/>
      </c>
      <c r="I1136" s="18">
        <f>HYPERLINK("http://dict.youdao.com/w/"&amp;B1136,"有道")</f>
        <v/>
      </c>
    </row>
    <row customHeight="1" ht="28.5" r="1137">
      <c r="B1137" s="1" t="inlineStr">
        <is>
          <t>locomotive</t>
        </is>
      </c>
      <c r="C1137" s="7">
        <f>"adj. 火车头的；运动的；移动的"&amp;CHAR(10)&amp;"n. 机车；火车头"</f>
        <v/>
      </c>
      <c r="G1137" s="18">
        <f>HYPERLINK("D:\python\英语学习\voices\"&amp;B1137&amp;"_1.mp3","BrE")</f>
        <v/>
      </c>
      <c r="H1137" s="18">
        <f>HYPERLINK("D:\python\英语学习\voices\"&amp;B1137&amp;"_2.mp3","AmE")</f>
        <v/>
      </c>
      <c r="I1137" s="18">
        <f>HYPERLINK("http://dict.youdao.com/w/"&amp;B1137,"有道")</f>
        <v/>
      </c>
    </row>
    <row r="1138">
      <c r="B1138" s="1" t="inlineStr">
        <is>
          <t>locus</t>
        </is>
      </c>
      <c r="C1138" s="7">
        <f>"n. [数] 轨迹；地点，所在地"</f>
        <v/>
      </c>
      <c r="G1138" s="18">
        <f>HYPERLINK("D:\python\英语学习\voices\"&amp;B1138&amp;"_1.mp3","BrE")</f>
        <v/>
      </c>
      <c r="H1138" s="18">
        <f>HYPERLINK("D:\python\英语学习\voices\"&amp;B1138&amp;"_2.mp3","AmE")</f>
        <v/>
      </c>
      <c r="I1138" s="18">
        <f>HYPERLINK("http://dict.youdao.com/w/"&amp;B1138,"有道")</f>
        <v/>
      </c>
    </row>
    <row customHeight="1" ht="57" r="1139">
      <c r="B1139" s="1" t="inlineStr">
        <is>
          <t>lodge</t>
        </is>
      </c>
      <c r="C1139" s="7">
        <f>"n. 旅馆；门房；集会处；山林小屋"&amp;CHAR(10)&amp;"vt. 提出；寄存；借住；嵌入"&amp;CHAR(10)&amp;"vi. 寄宿；临时住宿"&amp;CHAR(10)&amp;"n. (Lodge)人名；(英、西)洛奇"</f>
        <v/>
      </c>
      <c r="G1139" s="18">
        <f>HYPERLINK("D:\python\英语学习\voices\"&amp;B1139&amp;"_1.mp3","BrE")</f>
        <v/>
      </c>
      <c r="H1139" s="18">
        <f>HYPERLINK("D:\python\英语学习\voices\"&amp;B1139&amp;"_2.mp3","AmE")</f>
        <v/>
      </c>
      <c r="I1139" s="18">
        <f>HYPERLINK("http://dict.youdao.com/w/"&amp;B1139,"有道")</f>
        <v/>
      </c>
    </row>
    <row customHeight="1" ht="28.5" r="1140">
      <c r="B1140" s="1" t="inlineStr">
        <is>
          <t>lofty</t>
        </is>
      </c>
      <c r="C1140" s="7">
        <f>"adj. 高的；崇高的；高级的；高傲的"&amp;CHAR(10)&amp;"n. (Lofty)人名；(英)洛夫蒂"</f>
        <v/>
      </c>
      <c r="G1140" s="18">
        <f>HYPERLINK("D:\python\英语学习\voices\"&amp;B1140&amp;"_1.mp3","BrE")</f>
        <v/>
      </c>
      <c r="H1140" s="18">
        <f>HYPERLINK("D:\python\英语学习\voices\"&amp;B1140&amp;"_2.mp3","AmE")</f>
        <v/>
      </c>
      <c r="I1140" s="18">
        <f>HYPERLINK("http://dict.youdao.com/w/"&amp;B1140,"有道")</f>
        <v/>
      </c>
    </row>
    <row customHeight="1" ht="42.75" r="1141">
      <c r="B1141" s="1" t="inlineStr">
        <is>
          <t>log</t>
        </is>
      </c>
      <c r="C1141" s="7">
        <f>"vi. 伐木"&amp;CHAR(10)&amp;"vt. 切；伐木；航行"&amp;CHAR(10)&amp;"n. 记录；航行日志；原木"</f>
        <v/>
      </c>
      <c r="G1141" s="18">
        <f>HYPERLINK("D:\python\英语学习\voices\"&amp;B1141&amp;"_1.mp3","BrE")</f>
        <v/>
      </c>
      <c r="H1141" s="18">
        <f>HYPERLINK("D:\python\英语学习\voices\"&amp;B1141&amp;"_2.mp3","AmE")</f>
        <v/>
      </c>
      <c r="I1141" s="18">
        <f>HYPERLINK("http://dict.youdao.com/w/"&amp;B1141,"有道")</f>
        <v/>
      </c>
    </row>
    <row r="1142">
      <c r="B1142" s="1" t="inlineStr">
        <is>
          <t>logistic</t>
        </is>
      </c>
      <c r="C1142" s="7">
        <f>"adj. 后勤学的；[数] 符号逻辑的"</f>
        <v/>
      </c>
      <c r="G1142" s="18">
        <f>HYPERLINK("D:\python\英语学习\voices\"&amp;B1142&amp;"_1.mp3","BrE")</f>
        <v/>
      </c>
      <c r="H1142" s="18">
        <f>HYPERLINK("D:\python\英语学习\voices\"&amp;B1142&amp;"_2.mp3","AmE")</f>
        <v/>
      </c>
      <c r="I1142" s="18">
        <f>HYPERLINK("http://dict.youdao.com/w/"&amp;B1142,"有道")</f>
        <v/>
      </c>
    </row>
    <row r="1143">
      <c r="B1143" s="1" t="inlineStr">
        <is>
          <t>longevity</t>
        </is>
      </c>
      <c r="C1143" s="7">
        <f>"n. 长寿，长命；寿命"</f>
        <v/>
      </c>
      <c r="G1143" s="18">
        <f>HYPERLINK("D:\python\英语学习\voices\"&amp;B1143&amp;"_1.mp3","BrE")</f>
        <v/>
      </c>
      <c r="H1143" s="18">
        <f>HYPERLINK("D:\python\英语学习\voices\"&amp;B1143&amp;"_2.mp3","AmE")</f>
        <v/>
      </c>
      <c r="I1143" s="18">
        <f>HYPERLINK("http://dict.youdao.com/w/"&amp;B1143,"有道")</f>
        <v/>
      </c>
    </row>
    <row customHeight="1" ht="42.75" r="1144">
      <c r="B1144" s="1" t="inlineStr">
        <is>
          <t>longing</t>
        </is>
      </c>
      <c r="C1144" s="7">
        <f>"n. 渴望，热望；憧憬"&amp;CHAR(10)&amp;"adj. 渴望的，极想得到的"&amp;CHAR(10)&amp;"v. 渴望（long的ing形式）"</f>
        <v/>
      </c>
      <c r="E1144" s="6" t="inlineStr">
        <is>
          <t>很多词性 longing for 渴望</t>
        </is>
      </c>
      <c r="G1144" s="18">
        <f>HYPERLINK("D:\python\英语学习\voices\"&amp;B1144&amp;"_1.mp3","BrE")</f>
        <v/>
      </c>
      <c r="H1144" s="18">
        <f>HYPERLINK("D:\python\英语学习\voices\"&amp;B1144&amp;"_2.mp3","AmE")</f>
        <v/>
      </c>
      <c r="I1144" s="18">
        <f>HYPERLINK("http://dict.youdao.com/w/"&amp;B1144,"有道")</f>
        <v/>
      </c>
    </row>
    <row r="1145">
      <c r="B1145" s="1" t="inlineStr">
        <is>
          <t>longitudinal</t>
        </is>
      </c>
      <c r="C1145" s="7">
        <f>"adj. 长度的，纵向的；经线的"</f>
        <v/>
      </c>
      <c r="G1145" s="18">
        <f>HYPERLINK("D:\python\英语学习\voices\"&amp;B1145&amp;"_1.mp3","BrE")</f>
        <v/>
      </c>
      <c r="H1145" s="18">
        <f>HYPERLINK("D:\python\英语学习\voices\"&amp;B1145&amp;"_2.mp3","AmE")</f>
        <v/>
      </c>
      <c r="I1145" s="18">
        <f>HYPERLINK("http://dict.youdao.com/w/"&amp;B1145,"有道")</f>
        <v/>
      </c>
    </row>
    <row customHeight="1" ht="42.75" r="1146">
      <c r="B1146" s="1" t="inlineStr">
        <is>
          <t>loot</t>
        </is>
      </c>
      <c r="C1146" s="7">
        <f>"n. 战利品；抢劫；掠夺品"&amp;CHAR(10)&amp;"vt. 抢劫，洗劫；强夺"&amp;CHAR(10)&amp;"vi. 洗劫，掠夺；抢劫"</f>
        <v/>
      </c>
      <c r="G1146" s="18">
        <f>HYPERLINK("D:\python\英语学习\voices\"&amp;B1146&amp;"_1.mp3","BrE")</f>
        <v/>
      </c>
      <c r="H1146" s="18">
        <f>HYPERLINK("D:\python\英语学习\voices\"&amp;B1146&amp;"_2.mp3","AmE")</f>
        <v/>
      </c>
      <c r="I1146" s="18">
        <f>HYPERLINK("http://dict.youdao.com/w/"&amp;B1146,"有道")</f>
        <v/>
      </c>
    </row>
    <row r="1147">
      <c r="B1147" s="1" t="inlineStr">
        <is>
          <t>lordship</t>
        </is>
      </c>
      <c r="C1147" s="7">
        <f>"n. 阁下；贵族身分（或权威）；统治"</f>
        <v/>
      </c>
      <c r="G1147" s="18">
        <f>HYPERLINK("D:\python\英语学习\voices\"&amp;B1147&amp;"_1.mp3","BrE")</f>
        <v/>
      </c>
      <c r="H1147" s="18">
        <f>HYPERLINK("D:\python\英语学习\voices\"&amp;B1147&amp;"_2.mp3","AmE")</f>
        <v/>
      </c>
      <c r="I1147" s="18">
        <f>HYPERLINK("http://dict.youdao.com/w/"&amp;B1147,"有道")</f>
        <v/>
      </c>
    </row>
    <row customHeight="1" ht="28.5" r="1148">
      <c r="B1148" s="1" t="inlineStr">
        <is>
          <t>lorry</t>
        </is>
      </c>
      <c r="C1148" s="7">
        <f>"n. （英）卡车；[车辆] 货车；运料车"&amp;CHAR(10)&amp;"n. (Lorry)人名；(法、德)洛里"</f>
        <v/>
      </c>
      <c r="G1148" s="18">
        <f>HYPERLINK("D:\python\英语学习\voices\"&amp;B1148&amp;"_1.mp3","BrE")</f>
        <v/>
      </c>
      <c r="H1148" s="18">
        <f>HYPERLINK("D:\python\英语学习\voices\"&amp;B1148&amp;"_2.mp3","AmE")</f>
        <v/>
      </c>
      <c r="I1148" s="18">
        <f>HYPERLINK("http://dict.youdao.com/w/"&amp;B1148,"有道")</f>
        <v/>
      </c>
    </row>
    <row r="1149">
      <c r="B1149" s="1" t="inlineStr">
        <is>
          <t>loudspeaker</t>
        </is>
      </c>
      <c r="C1149" s="7">
        <f>"n. 喇叭，扬声器；扩音器"</f>
        <v/>
      </c>
      <c r="G1149" s="18">
        <f>HYPERLINK("D:\python\英语学习\voices\"&amp;B1149&amp;"_1.mp3","BrE")</f>
        <v/>
      </c>
      <c r="H1149" s="18">
        <f>HYPERLINK("D:\python\英语学习\voices\"&amp;B1149&amp;"_2.mp3","AmE")</f>
        <v/>
      </c>
      <c r="I1149" s="18">
        <f>HYPERLINK("http://dict.youdao.com/w/"&amp;B1149,"有道")</f>
        <v/>
      </c>
    </row>
    <row customHeight="1" ht="28.5" r="1150">
      <c r="B1150" s="1" t="inlineStr">
        <is>
          <t>lubricate</t>
        </is>
      </c>
      <c r="C1150" s="7">
        <f>"vi. 润滑；涂油；起润滑剂作用"&amp;CHAR(10)&amp;"vt. 使…润滑；给…加润滑油"</f>
        <v/>
      </c>
      <c r="G1150" s="18">
        <f>HYPERLINK("D:\python\英语学习\voices\"&amp;B1150&amp;"_1.mp3","BrE")</f>
        <v/>
      </c>
      <c r="H1150" s="18">
        <f>HYPERLINK("D:\python\英语学习\voices\"&amp;B1150&amp;"_2.mp3","AmE")</f>
        <v/>
      </c>
      <c r="I1150" s="18">
        <f>HYPERLINK("http://dict.youdao.com/w/"&amp;B1150,"有道")</f>
        <v/>
      </c>
    </row>
    <row customHeight="1" ht="28.5" r="1151">
      <c r="A1151" s="1" t="inlineStr">
        <is>
          <t>practice</t>
        </is>
      </c>
      <c r="B1151" s="1" t="inlineStr">
        <is>
          <t>chronic</t>
        </is>
      </c>
      <c r="C1151" s="7">
        <f>"adj. 慢性的；长期的；习惯性的"&amp;CHAR(10)&amp;"n. (Chronic)人名；(英)克罗尼克"</f>
        <v/>
      </c>
      <c r="E1151" s="6" t="inlineStr">
        <is>
          <t>'=chronical</t>
        </is>
      </c>
      <c r="G1151" s="18">
        <f>HYPERLINK("D:\python\英语学习\voices\"&amp;B1151&amp;"_1.mp3","BrE")</f>
        <v/>
      </c>
      <c r="H1151" s="18">
        <f>HYPERLINK("D:\python\英语学习\voices\"&amp;B1151&amp;"_2.mp3","AmE")</f>
        <v/>
      </c>
      <c r="I1151" s="18">
        <f>HYPERLINK("http://dict.youdao.com/w/"&amp;B1151,"有道")</f>
        <v/>
      </c>
    </row>
    <row customHeight="1" ht="57" r="1152">
      <c r="B1152" s="1" t="inlineStr">
        <is>
          <t>lumber</t>
        </is>
      </c>
      <c r="C1152" s="7">
        <f>"vi. 伐木；喧闹地向前走；笨重地行动，缓慢地移动"&amp;CHAR(10)&amp;"vt. 砍伐木材；乱堆"&amp;CHAR(10)&amp;"n. 木材；废物，无用的杂物；隆隆声"</f>
        <v/>
      </c>
      <c r="E1152" s="6" t="inlineStr">
        <is>
          <t>lumberjack</t>
        </is>
      </c>
      <c r="G1152" s="18">
        <f>HYPERLINK("D:\python\英语学习\voices\"&amp;B1152&amp;"_1.mp3","BrE")</f>
        <v/>
      </c>
      <c r="H1152" s="18">
        <f>HYPERLINK("D:\python\英语学习\voices\"&amp;B1152&amp;"_2.mp3","AmE")</f>
        <v/>
      </c>
      <c r="I1152" s="18">
        <f>HYPERLINK("http://dict.youdao.com/w/"&amp;B1152,"有道")</f>
        <v/>
      </c>
    </row>
    <row customHeight="1" ht="71.25" r="1153">
      <c r="B1153" s="1" t="inlineStr">
        <is>
          <t>lump</t>
        </is>
      </c>
      <c r="C1153" s="7">
        <f>"n. 块，块状；肿块；瘤；很多；笨人"&amp;CHAR(10)&amp;"vt. 混在一起；使成块状；忍耐；笨重地移动"&amp;CHAR(10)&amp;"vi. 结块"&amp;CHAR(10)&amp;"adj. 成团的；总共的"&amp;CHAR(10)&amp;"adv. 很；非常"</f>
        <v/>
      </c>
      <c r="G1153" s="18">
        <f>HYPERLINK("D:\python\英语学习\voices\"&amp;B1153&amp;"_1.mp3","BrE")</f>
        <v/>
      </c>
      <c r="H1153" s="18">
        <f>HYPERLINK("D:\python\英语学习\voices\"&amp;B1153&amp;"_2.mp3","AmE")</f>
        <v/>
      </c>
      <c r="I1153" s="18">
        <f>HYPERLINK("http://dict.youdao.com/w/"&amp;B1153,"有道")</f>
        <v/>
      </c>
    </row>
    <row customHeight="1" ht="42.75" r="1154">
      <c r="B1154" s="1" t="inlineStr">
        <is>
          <t>lust</t>
        </is>
      </c>
      <c r="C1154" s="7">
        <f>"n. 性欲；强烈的欲望"&amp;CHAR(10)&amp;"vi. 贪求，渴望"&amp;CHAR(10)&amp;"n. (Lust)人名；(捷、匈、瑞典)卢斯特"</f>
        <v/>
      </c>
      <c r="G1154" s="18">
        <f>HYPERLINK("D:\python\英语学习\voices\"&amp;B1154&amp;"_1.mp3","BrE")</f>
        <v/>
      </c>
      <c r="H1154" s="18">
        <f>HYPERLINK("D:\python\英语学习\voices\"&amp;B1154&amp;"_2.mp3","AmE")</f>
        <v/>
      </c>
      <c r="I1154" s="18">
        <f>HYPERLINK("http://dict.youdao.com/w/"&amp;B1154,"有道")</f>
        <v/>
      </c>
    </row>
    <row customHeight="1" ht="42.75" r="1155">
      <c r="B1155" s="1" t="inlineStr">
        <is>
          <t>lyric</t>
        </is>
      </c>
      <c r="C1155" s="7">
        <f>"adj. 抒情的；吟唱的"&amp;CHAR(10)&amp;"n. 抒情诗；歌词"&amp;CHAR(10)&amp;"n. (Lyric)人名；(英)利里克，利丽克(女名)"</f>
        <v/>
      </c>
      <c r="G1155" s="18">
        <f>HYPERLINK("D:\python\英语学习\voices\"&amp;B1155&amp;"_1.mp3","BrE")</f>
        <v/>
      </c>
      <c r="H1155" s="18">
        <f>HYPERLINK("D:\python\英语学习\voices\"&amp;B1155&amp;"_2.mp3","AmE")</f>
        <v/>
      </c>
      <c r="I1155" s="18">
        <f>HYPERLINK("http://dict.youdao.com/w/"&amp;B1155,"有道")</f>
        <v/>
      </c>
    </row>
    <row customHeight="1" ht="42.75" r="1156">
      <c r="B1156" s="1" t="inlineStr">
        <is>
          <t>macro</t>
        </is>
      </c>
      <c r="C1156" s="7">
        <f>"adj. 巨大的，大量的"&amp;CHAR(10)&amp;"n. 宏，巨（计算机术语）"&amp;CHAR(10)&amp;"n. (Macro)人名；(意)马克罗"</f>
        <v/>
      </c>
      <c r="G1156" s="18">
        <f>HYPERLINK("D:\python\英语学习\voices\"&amp;B1156&amp;"_1.mp3","BrE")</f>
        <v/>
      </c>
      <c r="H1156" s="18">
        <f>HYPERLINK("D:\python\英语学习\voices\"&amp;B1156&amp;"_2.mp3","AmE")</f>
        <v/>
      </c>
      <c r="I1156" s="18">
        <f>HYPERLINK("http://dict.youdao.com/w/"&amp;B1156,"有道")</f>
        <v/>
      </c>
    </row>
    <row r="1157">
      <c r="A1157" s="1" t="inlineStr">
        <is>
          <t>unnecessary</t>
        </is>
      </c>
      <c r="B1157" s="1" t="inlineStr">
        <is>
          <t>magistrate</t>
        </is>
      </c>
      <c r="C1157" s="7">
        <f>"n. 地方法官；文职官员；治安推事"</f>
        <v/>
      </c>
      <c r="E1157" s="6" t="inlineStr">
        <is>
          <t>x</t>
        </is>
      </c>
      <c r="G1157" s="18">
        <f>HYPERLINK("D:\python\英语学习\voices\"&amp;B1157&amp;"_1.mp3","BrE")</f>
        <v/>
      </c>
      <c r="H1157" s="18">
        <f>HYPERLINK("D:\python\英语学习\voices\"&amp;B1157&amp;"_2.mp3","AmE")</f>
        <v/>
      </c>
      <c r="I1157" s="18">
        <f>HYPERLINK("http://dict.youdao.com/w/"&amp;B1157,"有道")</f>
        <v/>
      </c>
    </row>
    <row r="1158">
      <c r="B1158" s="1" t="inlineStr">
        <is>
          <t>magnificent</t>
        </is>
      </c>
      <c r="C1158" s="7">
        <f>"adj. 高尚的；壮丽的；华丽的；宏伟的"</f>
        <v/>
      </c>
      <c r="G1158" s="18">
        <f>HYPERLINK("D:\python\英语学习\voices\"&amp;B1158&amp;"_1.mp3","BrE")</f>
        <v/>
      </c>
      <c r="H1158" s="18">
        <f>HYPERLINK("D:\python\英语学习\voices\"&amp;B1158&amp;"_2.mp3","AmE")</f>
        <v/>
      </c>
      <c r="I1158" s="18">
        <f>HYPERLINK("http://dict.youdao.com/w/"&amp;B1158,"有道")</f>
        <v/>
      </c>
    </row>
    <row customHeight="1" ht="28.5" r="1159">
      <c r="B1159" s="1" t="inlineStr">
        <is>
          <t>magnify</t>
        </is>
      </c>
      <c r="C1159" s="7">
        <f>"vt. 放大；赞美；夸大"&amp;CHAR(10)&amp;"vi. 放大；有放大能力"</f>
        <v/>
      </c>
      <c r="G1159" s="18">
        <f>HYPERLINK("D:\python\英语学习\voices\"&amp;B1159&amp;"_1.mp3","BrE")</f>
        <v/>
      </c>
      <c r="H1159" s="18">
        <f>HYPERLINK("D:\python\英语学习\voices\"&amp;B1159&amp;"_2.mp3","AmE")</f>
        <v/>
      </c>
      <c r="I1159" s="18">
        <f>HYPERLINK("http://dict.youdao.com/w/"&amp;B1159,"有道")</f>
        <v/>
      </c>
    </row>
    <row r="1160">
      <c r="B1160" s="1" t="inlineStr">
        <is>
          <t>magnitude</t>
        </is>
      </c>
      <c r="C1160" s="7">
        <f>"n. 大小；量级；[地震] 震级；重要；光度"</f>
        <v/>
      </c>
      <c r="G1160" s="18">
        <f>HYPERLINK("D:\python\英语学习\voices\"&amp;B1160&amp;"_1.mp3","BrE")</f>
        <v/>
      </c>
      <c r="H1160" s="18">
        <f>HYPERLINK("D:\python\英语学习\voices\"&amp;B1160&amp;"_2.mp3","AmE")</f>
        <v/>
      </c>
      <c r="I1160" s="18">
        <f>HYPERLINK("http://dict.youdao.com/w/"&amp;B1160,"有道")</f>
        <v/>
      </c>
    </row>
    <row r="1161">
      <c r="B1161" s="1" t="inlineStr">
        <is>
          <t>mainframe</t>
        </is>
      </c>
      <c r="C1161" s="7">
        <f>"n. [计] 主机；大型机"</f>
        <v/>
      </c>
      <c r="G1161" s="18">
        <f>HYPERLINK("D:\python\英语学习\voices\"&amp;B1161&amp;"_1.mp3","BrE")</f>
        <v/>
      </c>
      <c r="H1161" s="18">
        <f>HYPERLINK("D:\python\英语学习\voices\"&amp;B1161&amp;"_2.mp3","AmE")</f>
        <v/>
      </c>
      <c r="I1161" s="18">
        <f>HYPERLINK("http://dict.youdao.com/w/"&amp;B1161,"有道")</f>
        <v/>
      </c>
    </row>
    <row customHeight="1" ht="28.5" r="1162">
      <c r="B1162" s="1" t="inlineStr">
        <is>
          <t>maize</t>
        </is>
      </c>
      <c r="C1162" s="7">
        <f>"adj. 黄色的，玉米色的"&amp;CHAR(10)&amp;"n. 玉米；黄色，玉米色"</f>
        <v/>
      </c>
      <c r="G1162" s="18">
        <f>HYPERLINK("D:\python\英语学习\voices\"&amp;B1162&amp;"_1.mp3","BrE")</f>
        <v/>
      </c>
      <c r="H1162" s="18">
        <f>HYPERLINK("D:\python\英语学习\voices\"&amp;B1162&amp;"_2.mp3","AmE")</f>
        <v/>
      </c>
      <c r="I1162" s="18">
        <f>HYPERLINK("http://dict.youdao.com/w/"&amp;B1162,"有道")</f>
        <v/>
      </c>
    </row>
    <row r="1163">
      <c r="B1163" s="1" t="inlineStr">
        <is>
          <t>majesty</t>
        </is>
      </c>
      <c r="C1163" s="7">
        <f>"n. 威严；最高权威，王权；雄伟；权威"</f>
        <v/>
      </c>
      <c r="E1163" s="6" t="inlineStr">
        <is>
          <t>好多意思</t>
        </is>
      </c>
      <c r="G1163" s="18">
        <f>HYPERLINK("D:\python\英语学习\voices\"&amp;B1163&amp;"_1.mp3","BrE")</f>
        <v/>
      </c>
      <c r="H1163" s="18">
        <f>HYPERLINK("D:\python\英语学习\voices\"&amp;B1163&amp;"_2.mp3","AmE")</f>
        <v/>
      </c>
      <c r="I1163" s="18">
        <f>HYPERLINK("http://dict.youdao.com/w/"&amp;B1163,"有道")</f>
        <v/>
      </c>
    </row>
    <row r="1164">
      <c r="A1164" s="1" t="inlineStr">
        <is>
          <t>unnecessary</t>
        </is>
      </c>
      <c r="B1164" s="1" t="inlineStr">
        <is>
          <t>malaria</t>
        </is>
      </c>
      <c r="C1164" s="7">
        <f>"n. [内科] 疟疾；瘴气"</f>
        <v/>
      </c>
      <c r="G1164" s="18">
        <f>HYPERLINK("D:\python\英语学习\voices\"&amp;B1164&amp;"_1.mp3","BrE")</f>
        <v/>
      </c>
      <c r="H1164" s="18">
        <f>HYPERLINK("D:\python\英语学习\voices\"&amp;B1164&amp;"_2.mp3","AmE")</f>
        <v/>
      </c>
      <c r="I1164" s="18">
        <f>HYPERLINK("http://dict.youdao.com/w/"&amp;B1164,"有道")</f>
        <v/>
      </c>
    </row>
    <row customHeight="1" ht="28.5" r="1165">
      <c r="B1165" s="1" t="inlineStr">
        <is>
          <t>malice</t>
        </is>
      </c>
      <c r="C1165" s="7">
        <f>"n. 恶意；怨恨；预谋"&amp;CHAR(10)&amp;"n. (Malice)人名；(意)马利切"</f>
        <v/>
      </c>
      <c r="E1165" s="6" t="inlineStr">
        <is>
          <t>out of malice</t>
        </is>
      </c>
      <c r="G1165" s="18">
        <f>HYPERLINK("D:\python\英语学习\voices\"&amp;B1165&amp;"_1.mp3","BrE")</f>
        <v/>
      </c>
      <c r="H1165" s="18">
        <f>HYPERLINK("D:\python\英语学习\voices\"&amp;B1165&amp;"_2.mp3","AmE")</f>
        <v/>
      </c>
      <c r="I1165" s="18">
        <f>HYPERLINK("http://dict.youdao.com/w/"&amp;B1165,"有道")</f>
        <v/>
      </c>
    </row>
    <row r="1166">
      <c r="B1166" s="1" t="inlineStr">
        <is>
          <t>malicious</t>
        </is>
      </c>
      <c r="C1166" s="7">
        <f>"adj. 恶意的；恶毒的；蓄意的；怀恨的"</f>
        <v/>
      </c>
      <c r="D1166" s="6" t="inlineStr">
        <is>
          <t>malice</t>
        </is>
      </c>
      <c r="G1166" s="18">
        <f>HYPERLINK("D:\python\英语学习\voices\"&amp;B1166&amp;"_1.mp3","BrE")</f>
        <v/>
      </c>
      <c r="H1166" s="18">
        <f>HYPERLINK("D:\python\英语学习\voices\"&amp;B1166&amp;"_2.mp3","AmE")</f>
        <v/>
      </c>
      <c r="I1166" s="18">
        <f>HYPERLINK("http://dict.youdao.com/w/"&amp;B1166,"有道")</f>
        <v/>
      </c>
    </row>
    <row customHeight="1" ht="28.5" r="1167">
      <c r="B1167" s="1" t="inlineStr">
        <is>
          <t>malign</t>
        </is>
      </c>
      <c r="C1167" s="7">
        <f>"vt. 诽谤，污蔑；中伤，说坏话"&amp;CHAR(10)&amp;"adj. 恶意的，恶性的；有害的"</f>
        <v/>
      </c>
      <c r="E1167" s="6" t="inlineStr">
        <is>
          <t>反义词benign</t>
        </is>
      </c>
      <c r="G1167" s="18">
        <f>HYPERLINK("D:\python\英语学习\voices\"&amp;B1167&amp;"_1.mp3","BrE")</f>
        <v/>
      </c>
      <c r="H1167" s="18">
        <f>HYPERLINK("D:\python\英语学习\voices\"&amp;B1167&amp;"_2.mp3","AmE")</f>
        <v/>
      </c>
      <c r="I1167" s="18">
        <f>HYPERLINK("http://dict.youdao.com/w/"&amp;B1167,"有道")</f>
        <v/>
      </c>
    </row>
    <row customHeight="1" ht="28.5" r="1168">
      <c r="B1168" s="1" t="inlineStr">
        <is>
          <t>malignant</t>
        </is>
      </c>
      <c r="C1168" s="7">
        <f>"adj. [医] 恶性的；有害的；有恶意的"&amp;CHAR(10)&amp;"n. 保王党员；怀恶意的人"</f>
        <v/>
      </c>
      <c r="D1168" s="6" t="inlineStr">
        <is>
          <t>malice</t>
        </is>
      </c>
      <c r="G1168" s="18">
        <f>HYPERLINK("D:\python\英语学习\voices\"&amp;B1168&amp;"_1.mp3","BrE")</f>
        <v/>
      </c>
      <c r="H1168" s="18">
        <f>HYPERLINK("D:\python\英语学习\voices\"&amp;B1168&amp;"_2.mp3","AmE")</f>
        <v/>
      </c>
      <c r="I1168" s="18">
        <f>HYPERLINK("http://dict.youdao.com/w/"&amp;B1168,"有道")</f>
        <v/>
      </c>
    </row>
    <row r="1169">
      <c r="B1169" s="1" t="inlineStr">
        <is>
          <t>maltreatment</t>
        </is>
      </c>
      <c r="C1169" s="7">
        <f>"n. 虐待；粗暴对待"</f>
        <v/>
      </c>
      <c r="G1169" s="18">
        <f>HYPERLINK("D:\python\英语学习\voices\"&amp;B1169&amp;"_1.mp3","BrE")</f>
        <v/>
      </c>
      <c r="H1169" s="18">
        <f>HYPERLINK("D:\python\英语学习\voices\"&amp;B1169&amp;"_2.mp3","AmE")</f>
        <v/>
      </c>
      <c r="I1169" s="18">
        <f>HYPERLINK("http://dict.youdao.com/w/"&amp;B1169,"有道")</f>
        <v/>
      </c>
    </row>
    <row customHeight="1" ht="28.5" r="1170">
      <c r="A1170" s="1" t="inlineStr">
        <is>
          <t>unnecessary</t>
        </is>
      </c>
      <c r="B1170" s="1" t="inlineStr">
        <is>
          <t>mammalian</t>
        </is>
      </c>
      <c r="C1170" s="7">
        <f>"adj. 哺乳类动物的"&amp;CHAR(10)&amp;"n. 哺乳类"</f>
        <v/>
      </c>
      <c r="G1170" s="18">
        <f>HYPERLINK("D:\python\英语学习\voices\"&amp;B1170&amp;"_1.mp3","BrE")</f>
        <v/>
      </c>
      <c r="H1170" s="18">
        <f>HYPERLINK("D:\python\英语学习\voices\"&amp;B1170&amp;"_2.mp3","AmE")</f>
        <v/>
      </c>
      <c r="I1170" s="18">
        <f>HYPERLINK("http://dict.youdao.com/w/"&amp;B1170,"有道")</f>
        <v/>
      </c>
    </row>
    <row r="1171">
      <c r="B1171" s="1" t="inlineStr">
        <is>
          <t>managerial</t>
        </is>
      </c>
      <c r="C1171" s="7">
        <f>"adj. [管理] 管理的；经理的"</f>
        <v/>
      </c>
      <c r="G1171" s="18">
        <f>HYPERLINK("D:\python\英语学习\voices\"&amp;B1171&amp;"_1.mp3","BrE")</f>
        <v/>
      </c>
      <c r="H1171" s="18">
        <f>HYPERLINK("D:\python\英语学习\voices\"&amp;B1171&amp;"_2.mp3","AmE")</f>
        <v/>
      </c>
      <c r="I1171" s="18">
        <f>HYPERLINK("http://dict.youdao.com/w/"&amp;B1171,"有道")</f>
        <v/>
      </c>
    </row>
    <row customHeight="1" ht="42.75" r="1172">
      <c r="B1172" s="1" t="inlineStr">
        <is>
          <t>maneuver</t>
        </is>
      </c>
      <c r="C1172" s="7">
        <f>"n. [军] 机动；演习；策略；调遣"&amp;CHAR(10)&amp;"vi. [军] 机动；演习；调遣；用计谋"&amp;CHAR(10)&amp;"vt. [军] 机动；演习；用计；调遣"</f>
        <v/>
      </c>
      <c r="E1172" s="6" t="inlineStr">
        <is>
          <t>（用以渡过难关、解决问题的）技巧、手法</t>
        </is>
      </c>
      <c r="G1172" s="18">
        <f>HYPERLINK("D:\python\英语学习\voices\"&amp;B1172&amp;"_1.mp3","BrE")</f>
        <v/>
      </c>
      <c r="H1172" s="18">
        <f>HYPERLINK("D:\python\英语学习\voices\"&amp;B1172&amp;"_2.mp3","AmE")</f>
        <v/>
      </c>
      <c r="I1172" s="18">
        <f>HYPERLINK("http://dict.youdao.com/w/"&amp;B1172,"有道")</f>
        <v/>
      </c>
    </row>
    <row customHeight="1" ht="57" r="1173">
      <c r="A1173" s="1" t="inlineStr">
        <is>
          <t>practice</t>
        </is>
      </c>
      <c r="B1173" s="1" t="inlineStr">
        <is>
          <t>churn</t>
        </is>
      </c>
      <c r="C1173" s="7">
        <f>"vi. 搅拌；搅动"&amp;CHAR(10)&amp;"vt. 搅拌；搅动"&amp;CHAR(10)&amp;"n. 搅乳器"</f>
        <v/>
      </c>
      <c r="E1173" s="6" t="inlineStr">
        <is>
          <t>churn out 大量生产</t>
        </is>
      </c>
      <c r="G1173" s="18">
        <f>HYPERLINK("D:\python\英语学习\voices\"&amp;B1173&amp;"_1.mp3","BrE")</f>
        <v/>
      </c>
      <c r="H1173" s="18">
        <f>HYPERLINK("D:\python\英语学习\voices\"&amp;B1173&amp;"_2.mp3","AmE")</f>
        <v/>
      </c>
      <c r="I1173" s="18">
        <f>HYPERLINK("http://dict.youdao.com/w/"&amp;B1173,"有道")</f>
        <v/>
      </c>
    </row>
    <row r="1174">
      <c r="B1174" s="1" t="inlineStr">
        <is>
          <t>manipulate</t>
        </is>
      </c>
      <c r="C1174" s="7">
        <f>"vt. 操纵；操作；巧妙地处理；篡改"</f>
        <v/>
      </c>
      <c r="G1174" s="18">
        <f>HYPERLINK("D:\python\英语学习\voices\"&amp;B1174&amp;"_1.mp3","BrE")</f>
        <v/>
      </c>
      <c r="H1174" s="18">
        <f>HYPERLINK("D:\python\英语学习\voices\"&amp;B1174&amp;"_2.mp3","AmE")</f>
        <v/>
      </c>
      <c r="I1174" s="18">
        <f>HYPERLINK("http://dict.youdao.com/w/"&amp;B1174,"有道")</f>
        <v/>
      </c>
    </row>
    <row customHeight="1" ht="28.5" r="1175">
      <c r="B1175" s="1" t="inlineStr">
        <is>
          <t>manor</t>
        </is>
      </c>
      <c r="C1175" s="7">
        <f>"n. 庄园；领地；采邑，采地"&amp;CHAR(10)&amp;"n. (Manor)人名；(英)马诺尔"</f>
        <v/>
      </c>
      <c r="G1175" s="18">
        <f>HYPERLINK("D:\python\英语学习\voices\"&amp;B1175&amp;"_1.mp3","BrE")</f>
        <v/>
      </c>
      <c r="H1175" s="18">
        <f>HYPERLINK("D:\python\英语学习\voices\"&amp;B1175&amp;"_2.mp3","AmE")</f>
        <v/>
      </c>
      <c r="I1175" s="18">
        <f>HYPERLINK("http://dict.youdao.com/w/"&amp;B1175,"有道")</f>
        <v/>
      </c>
    </row>
    <row customHeight="1" ht="28.5" r="1176">
      <c r="B1176" s="1" t="inlineStr">
        <is>
          <t>manuscript</t>
        </is>
      </c>
      <c r="C1176" s="7">
        <f>"n. [图情] 手稿；原稿"&amp;CHAR(10)&amp;"adj. 手写的"</f>
        <v/>
      </c>
      <c r="G1176" s="18">
        <f>HYPERLINK("D:\python\英语学习\voices\"&amp;B1176&amp;"_1.mp3","BrE")</f>
        <v/>
      </c>
      <c r="H1176" s="18">
        <f>HYPERLINK("D:\python\英语学习\voices\"&amp;B1176&amp;"_2.mp3","AmE")</f>
        <v/>
      </c>
      <c r="I1176" s="18">
        <f>HYPERLINK("http://dict.youdao.com/w/"&amp;B1176,"有道")</f>
        <v/>
      </c>
    </row>
    <row customHeight="1" ht="42.75" r="1177">
      <c r="B1177" s="1" t="inlineStr">
        <is>
          <t>mar</t>
        </is>
      </c>
      <c r="C1177" s="7">
        <f>"vt. 损毁；损伤；糟蹋；玷污"&amp;CHAR(10)&amp;"n. 污点；瑕疵"&amp;CHAR(10)&amp;"n. (Mar)人名；(英、俄、以、葡、塞内)马尔"</f>
        <v/>
      </c>
      <c r="G1177" s="18">
        <f>HYPERLINK("D:\python\英语学习\voices\"&amp;B1177&amp;"_1.mp3","BrE")</f>
        <v/>
      </c>
      <c r="H1177" s="18">
        <f>HYPERLINK("D:\python\英语学习\voices\"&amp;B1177&amp;"_2.mp3","AmE")</f>
        <v/>
      </c>
      <c r="I1177" s="18">
        <f>HYPERLINK("http://dict.youdao.com/w/"&amp;B1177,"有道")</f>
        <v/>
      </c>
    </row>
    <row customHeight="1" ht="42.75" r="1178">
      <c r="A1178" s="1" t="inlineStr">
        <is>
          <t>unnecessary</t>
        </is>
      </c>
      <c r="B1178" s="1" t="inlineStr">
        <is>
          <t>mare</t>
        </is>
      </c>
      <c r="C1178" s="7">
        <f>"n. 母马；母驴；月球表面阴暗部"&amp;CHAR(10)&amp;"n. (Mare)人名；(意、芬、罗、波、塞)马蕾 (女名)，马雷；(俄)玛勒；(英)梅尔"</f>
        <v/>
      </c>
      <c r="G1178" s="18">
        <f>HYPERLINK("D:\python\英语学习\voices\"&amp;B1178&amp;"_1.mp3","BrE")</f>
        <v/>
      </c>
      <c r="H1178" s="18">
        <f>HYPERLINK("D:\python\英语学习\voices\"&amp;B1178&amp;"_2.mp3","AmE")</f>
        <v/>
      </c>
      <c r="I1178" s="18">
        <f>HYPERLINK("http://dict.youdao.com/w/"&amp;B1178,"有道")</f>
        <v/>
      </c>
    </row>
    <row customHeight="1" ht="28.5" r="1179">
      <c r="B1179" s="1" t="inlineStr">
        <is>
          <t>martial</t>
        </is>
      </c>
      <c r="C1179" s="7">
        <f>"adj. 军事的；战争的；尚武的"&amp;CHAR(10)&amp;"n. (Martial)人名；(法)马夏尔"</f>
        <v/>
      </c>
      <c r="G1179" s="18">
        <f>HYPERLINK("D:\python\英语学习\voices\"&amp;B1179&amp;"_1.mp3","BrE")</f>
        <v/>
      </c>
      <c r="H1179" s="18">
        <f>HYPERLINK("D:\python\英语学习\voices\"&amp;B1179&amp;"_2.mp3","AmE")</f>
        <v/>
      </c>
      <c r="I1179" s="18">
        <f>HYPERLINK("http://dict.youdao.com/w/"&amp;B1179,"有道")</f>
        <v/>
      </c>
    </row>
    <row customHeight="1" ht="28.5" r="1180">
      <c r="B1180" s="1" t="inlineStr">
        <is>
          <t>masculine</t>
        </is>
      </c>
      <c r="C1180" s="7">
        <f>"adj. 男性的；阳性的；男子气概的"&amp;CHAR(10)&amp;"n. 男性；阳性，阳性词"</f>
        <v/>
      </c>
      <c r="G1180" s="18">
        <f>HYPERLINK("D:\python\英语学习\voices\"&amp;B1180&amp;"_1.mp3","BrE")</f>
        <v/>
      </c>
      <c r="H1180" s="18">
        <f>HYPERLINK("D:\python\英语学习\voices\"&amp;B1180&amp;"_2.mp3","AmE")</f>
        <v/>
      </c>
      <c r="I1180" s="18">
        <f>HYPERLINK("http://dict.youdao.com/w/"&amp;B1180,"有道")</f>
        <v/>
      </c>
    </row>
    <row customHeight="1" ht="42.75" r="1181">
      <c r="B1181" s="1" t="inlineStr">
        <is>
          <t>massacre</t>
        </is>
      </c>
      <c r="C1181" s="7">
        <f>"vt. 残杀；彻底击败"&amp;CHAR(10)&amp;"n. 大屠杀；惨败"&amp;CHAR(10)&amp;"n. (Massacre)人名；(法)马萨克尔"</f>
        <v/>
      </c>
      <c r="G1181" s="18">
        <f>HYPERLINK("D:\python\英语学习\voices\"&amp;B1181&amp;"_1.mp3","BrE")</f>
        <v/>
      </c>
      <c r="H1181" s="18">
        <f>HYPERLINK("D:\python\英语学习\voices\"&amp;B1181&amp;"_2.mp3","AmE")</f>
        <v/>
      </c>
      <c r="I1181" s="18">
        <f>HYPERLINK("http://dict.youdao.com/w/"&amp;B1181,"有道")</f>
        <v/>
      </c>
    </row>
    <row customHeight="1" ht="99.75" r="1182">
      <c r="B1182" s="1" t="inlineStr">
        <is>
          <t>mat</t>
        </is>
      </c>
      <c r="C1182" s="7">
        <f>"n. 垫；垫子；衬边"&amp;CHAR(10)&amp;"vt. 缠结；铺席于……上"&amp;CHAR(10)&amp;"vi. 纠缠在一起"&amp;CHAR(10)&amp;"adj. 无光泽的"&amp;CHAR(10)&amp;"n. (Mat)人名；(土)马特；(柬)马；(英)马特，玛特(女名)(教名Matthew、Martha、Matilda的昵称)"</f>
        <v/>
      </c>
      <c r="G1182" s="18">
        <f>HYPERLINK("D:\python\英语学习\voices\"&amp;B1182&amp;"_1.mp3","BrE")</f>
        <v/>
      </c>
      <c r="H1182" s="18">
        <f>HYPERLINK("D:\python\英语学习\voices\"&amp;B1182&amp;"_2.mp3","AmE")</f>
        <v/>
      </c>
      <c r="I1182" s="18">
        <f>HYPERLINK("http://dict.youdao.com/w/"&amp;B1182,"有道")</f>
        <v/>
      </c>
    </row>
    <row r="1183">
      <c r="B1183" s="1" t="inlineStr">
        <is>
          <t>maturation</t>
        </is>
      </c>
      <c r="C1183" s="7">
        <f>"n. 成熟；化脓；生殖细胞之形成"</f>
        <v/>
      </c>
      <c r="G1183" s="18">
        <f>HYPERLINK("D:\python\英语学习\voices\"&amp;B1183&amp;"_1.mp3","BrE")</f>
        <v/>
      </c>
      <c r="H1183" s="18">
        <f>HYPERLINK("D:\python\英语学习\voices\"&amp;B1183&amp;"_2.mp3","AmE")</f>
        <v/>
      </c>
      <c r="I1183" s="18">
        <f>HYPERLINK("http://dict.youdao.com/w/"&amp;B1183,"有道")</f>
        <v/>
      </c>
    </row>
    <row customHeight="1" ht="28.5" r="1184">
      <c r="B1184" s="1" t="inlineStr">
        <is>
          <t>maximize</t>
        </is>
      </c>
      <c r="C1184" s="7">
        <f>"vt. 取…最大值；对…极为重视"&amp;CHAR(10)&amp;"vi. 尽可能广义地解释；达到最大值"</f>
        <v/>
      </c>
      <c r="G1184" s="18">
        <f>HYPERLINK("D:\python\英语学习\voices\"&amp;B1184&amp;"_1.mp3","BrE")</f>
        <v/>
      </c>
      <c r="H1184" s="18">
        <f>HYPERLINK("D:\python\英语学习\voices\"&amp;B1184&amp;"_2.mp3","AmE")</f>
        <v/>
      </c>
      <c r="I1184" s="18">
        <f>HYPERLINK("http://dict.youdao.com/w/"&amp;B1184,"有道")</f>
        <v/>
      </c>
    </row>
    <row r="1185">
      <c r="B1185" s="1" t="inlineStr">
        <is>
          <t>mediator</t>
        </is>
      </c>
      <c r="C1185" s="7">
        <f>"n. 调停者；传递者；中介物"</f>
        <v/>
      </c>
      <c r="G1185" s="18">
        <f>HYPERLINK("D:\python\英语学习\voices\"&amp;B1185&amp;"_1.mp3","BrE")</f>
        <v/>
      </c>
      <c r="H1185" s="18">
        <f>HYPERLINK("D:\python\英语学习\voices\"&amp;B1185&amp;"_2.mp3","AmE")</f>
        <v/>
      </c>
      <c r="I1185" s="18">
        <f>HYPERLINK("http://dict.youdao.com/w/"&amp;B1185,"有道")</f>
        <v/>
      </c>
    </row>
    <row r="1186">
      <c r="B1186" s="1" t="inlineStr">
        <is>
          <t>memorandum</t>
        </is>
      </c>
      <c r="C1186" s="7">
        <f>"n. 备忘录；便笺"</f>
        <v/>
      </c>
      <c r="G1186" s="18">
        <f>HYPERLINK("D:\python\英语学习\voices\"&amp;B1186&amp;"_1.mp3","BrE")</f>
        <v/>
      </c>
      <c r="H1186" s="18">
        <f>HYPERLINK("D:\python\英语学习\voices\"&amp;B1186&amp;"_2.mp3","AmE")</f>
        <v/>
      </c>
      <c r="I1186" s="18">
        <f>HYPERLINK("http://dict.youdao.com/w/"&amp;B1186,"有道")</f>
        <v/>
      </c>
    </row>
    <row customHeight="1" ht="42.75" r="1187">
      <c r="B1187" s="1" t="inlineStr">
        <is>
          <t>menace</t>
        </is>
      </c>
      <c r="C1187" s="7">
        <f>"n. 威胁；恐吓"&amp;CHAR(10)&amp;"vi. 恐吓；进行威胁"&amp;CHAR(10)&amp;"vt. 威胁；恐吓"</f>
        <v/>
      </c>
      <c r="G1187" s="18">
        <f>HYPERLINK("D:\python\英语学习\voices\"&amp;B1187&amp;"_1.mp3","BrE")</f>
        <v/>
      </c>
      <c r="H1187" s="18">
        <f>HYPERLINK("D:\python\英语学习\voices\"&amp;B1187&amp;"_2.mp3","AmE")</f>
        <v/>
      </c>
      <c r="I1187" s="18">
        <f>HYPERLINK("http://dict.youdao.com/w/"&amp;B1187,"有道")</f>
        <v/>
      </c>
    </row>
    <row customHeight="1" ht="42.75" r="1188">
      <c r="B1188" s="1" t="inlineStr">
        <is>
          <t>mend</t>
        </is>
      </c>
      <c r="C1188" s="7">
        <f>"vt. 修理，修补；改善；修改"&amp;CHAR(10)&amp;"vi. 改善，好转"&amp;CHAR(10)&amp;"n. 好转，改进；修补处"</f>
        <v/>
      </c>
      <c r="G1188" s="18">
        <f>HYPERLINK("D:\python\英语学习\voices\"&amp;B1188&amp;"_1.mp3","BrE")</f>
        <v/>
      </c>
      <c r="H1188" s="18">
        <f>HYPERLINK("D:\python\英语学习\voices\"&amp;B1188&amp;"_2.mp3","AmE")</f>
        <v/>
      </c>
      <c r="I1188" s="18">
        <f>HYPERLINK("http://dict.youdao.com/w/"&amp;B1188,"有道")</f>
        <v/>
      </c>
    </row>
    <row r="1189">
      <c r="B1189" s="1" t="inlineStr">
        <is>
          <t>merciful</t>
        </is>
      </c>
      <c r="C1189" s="7">
        <f>"adj. 仁慈的；慈悲的；宽容的"</f>
        <v/>
      </c>
      <c r="G1189" s="18">
        <f>HYPERLINK("D:\python\英语学习\voices\"&amp;B1189&amp;"_1.mp3","BrE")</f>
        <v/>
      </c>
      <c r="H1189" s="18">
        <f>HYPERLINK("D:\python\英语学习\voices\"&amp;B1189&amp;"_2.mp3","AmE")</f>
        <v/>
      </c>
      <c r="I1189" s="18">
        <f>HYPERLINK("http://dict.youdao.com/w/"&amp;B1189,"有道")</f>
        <v/>
      </c>
    </row>
    <row customHeight="1" ht="42.75" r="1190">
      <c r="B1190" s="1" t="inlineStr">
        <is>
          <t>merit</t>
        </is>
      </c>
      <c r="C1190" s="7">
        <f>"n. 优点，价值；功绩；功过"&amp;CHAR(10)&amp;"vt. 值得"&amp;CHAR(10)&amp;"vi. 应受报答"</f>
        <v/>
      </c>
      <c r="G1190" s="18">
        <f>HYPERLINK("D:\python\英语学习\voices\"&amp;B1190&amp;"_1.mp3","BrE")</f>
        <v/>
      </c>
      <c r="H1190" s="18">
        <f>HYPERLINK("D:\python\英语学习\voices\"&amp;B1190&amp;"_2.mp3","AmE")</f>
        <v/>
      </c>
      <c r="I1190" s="18">
        <f>HYPERLINK("http://dict.youdao.com/w/"&amp;B1190,"有道")</f>
        <v/>
      </c>
    </row>
    <row customHeight="1" ht="42.75" r="1191">
      <c r="B1191" s="1" t="inlineStr">
        <is>
          <t>merry</t>
        </is>
      </c>
      <c r="C1191" s="7">
        <f>"adj. 愉快的；微醉的；嬉戏作乐的"&amp;CHAR(10)&amp;"n. 甜樱桃"&amp;CHAR(10)&amp;"n. (Merry)人名；(英、法、西)梅里"</f>
        <v/>
      </c>
      <c r="E1191" t="inlineStr">
        <is>
          <t>还有微醺的意思，圣诞快乐用happy也行</t>
        </is>
      </c>
      <c r="G1191" s="18">
        <f>HYPERLINK("D:\python\英语学习\voices\"&amp;B1191&amp;"_1.mp3","BrE")</f>
        <v/>
      </c>
      <c r="H1191" s="18">
        <f>HYPERLINK("D:\python\英语学习\voices\"&amp;B1191&amp;"_2.mp3","AmE")</f>
        <v/>
      </c>
      <c r="I1191" s="18">
        <f>HYPERLINK("http://dict.youdao.com/w/"&amp;B1191,"有道")</f>
        <v/>
      </c>
    </row>
    <row customHeight="1" ht="42.75" r="1192">
      <c r="B1192" s="1" t="inlineStr">
        <is>
          <t>mesh</t>
        </is>
      </c>
      <c r="C1192" s="7">
        <f>"n. 网眼；网丝；圈套"&amp;CHAR(10)&amp;"vi. 相啮合"&amp;CHAR(10)&amp;"vt. [机] 啮合；以网捕捉"</f>
        <v/>
      </c>
      <c r="G1192" s="18">
        <f>HYPERLINK("D:\python\英语学习\voices\"&amp;B1192&amp;"_1.mp3","BrE")</f>
        <v/>
      </c>
      <c r="H1192" s="18">
        <f>HYPERLINK("D:\python\英语学习\voices\"&amp;B1192&amp;"_2.mp3","AmE")</f>
        <v/>
      </c>
      <c r="I1192" s="18">
        <f>HYPERLINK("http://dict.youdao.com/w/"&amp;B1192,"有道")</f>
        <v/>
      </c>
    </row>
    <row r="1193">
      <c r="B1193" s="1" t="inlineStr">
        <is>
          <t>metabolic</t>
        </is>
      </c>
      <c r="C1193" s="7">
        <f>"adj. 变化的；新陈代谢的"</f>
        <v/>
      </c>
      <c r="G1193" s="18">
        <f>HYPERLINK("D:\python\英语学习\voices\"&amp;B1193&amp;"_1.mp3","BrE")</f>
        <v/>
      </c>
      <c r="H1193" s="18">
        <f>HYPERLINK("D:\python\英语学习\voices\"&amp;B1193&amp;"_2.mp3","AmE")</f>
        <v/>
      </c>
      <c r="I1193" s="18">
        <f>HYPERLINK("http://dict.youdao.com/w/"&amp;B1193,"有道")</f>
        <v/>
      </c>
    </row>
    <row r="1194">
      <c r="B1194" s="1" t="inlineStr">
        <is>
          <t>metabolism</t>
        </is>
      </c>
      <c r="C1194" s="7">
        <f>"n. [生理] 新陈代谢"</f>
        <v/>
      </c>
      <c r="G1194" s="18">
        <f>HYPERLINK("D:\python\英语学习\voices\"&amp;B1194&amp;"_1.mp3","BrE")</f>
        <v/>
      </c>
      <c r="H1194" s="18">
        <f>HYPERLINK("D:\python\英语学习\voices\"&amp;B1194&amp;"_2.mp3","AmE")</f>
        <v/>
      </c>
      <c r="I1194" s="18">
        <f>HYPERLINK("http://dict.youdao.com/w/"&amp;B1194,"有道")</f>
        <v/>
      </c>
    </row>
    <row r="1195">
      <c r="B1195" s="1" t="inlineStr">
        <is>
          <t>metallic</t>
        </is>
      </c>
      <c r="C1195" s="7">
        <f>"adj. 金属的，含金属的"</f>
        <v/>
      </c>
      <c r="G1195" s="18">
        <f>HYPERLINK("D:\python\英语学习\voices\"&amp;B1195&amp;"_1.mp3","BrE")</f>
        <v/>
      </c>
      <c r="H1195" s="18">
        <f>HYPERLINK("D:\python\英语学习\voices\"&amp;B1195&amp;"_2.mp3","AmE")</f>
        <v/>
      </c>
      <c r="I1195" s="18">
        <f>HYPERLINK("http://dict.youdao.com/w/"&amp;B1195,"有道")</f>
        <v/>
      </c>
    </row>
    <row r="1196">
      <c r="B1196" s="1" t="inlineStr">
        <is>
          <t>metallurgy</t>
        </is>
      </c>
      <c r="C1196" s="7">
        <f>"n. 冶金；冶金学；冶金术"</f>
        <v/>
      </c>
      <c r="G1196" s="18">
        <f>HYPERLINK("D:\python\英语学习\voices\"&amp;B1196&amp;"_1.mp3","BrE")</f>
        <v/>
      </c>
      <c r="H1196" s="18">
        <f>HYPERLINK("D:\python\英语学习\voices\"&amp;B1196&amp;"_2.mp3","AmE")</f>
        <v/>
      </c>
      <c r="I1196" s="18">
        <f>HYPERLINK("http://dict.youdao.com/w/"&amp;B1196,"有道")</f>
        <v/>
      </c>
    </row>
    <row customHeight="1" ht="57" r="1197">
      <c r="B1197" s="1" t="inlineStr">
        <is>
          <t>metaphase</t>
        </is>
      </c>
      <c r="C1197" s="7">
        <f>"n. （细胞分裂的）[细胞] 中期"&amp;CHAR(10)&amp;"adj. 中期的；转位期的"</f>
        <v/>
      </c>
      <c r="D1197" s="6" t="inlineStr">
        <is>
          <t>meta- 中</t>
        </is>
      </c>
      <c r="E1197" s="7" t="inlineStr">
        <is>
          <t>pro 前
meta 中
ana 后
telo 末</t>
        </is>
      </c>
      <c r="G1197" s="18">
        <f>HYPERLINK("D:\python\英语学习\voices\"&amp;B1197&amp;"_1.mp3","BrE")</f>
        <v/>
      </c>
      <c r="H1197" s="18">
        <f>HYPERLINK("D:\python\英语学习\voices\"&amp;B1197&amp;"_2.mp3","AmE")</f>
        <v/>
      </c>
      <c r="I1197" s="18">
        <f>HYPERLINK("http://dict.youdao.com/w/"&amp;B1197,"有道")</f>
        <v/>
      </c>
    </row>
    <row r="1198">
      <c r="B1198" s="1" t="inlineStr">
        <is>
          <t>methodological</t>
        </is>
      </c>
      <c r="C1198" s="7">
        <f>"adj. 方法的，方法论的"</f>
        <v/>
      </c>
      <c r="G1198" s="18">
        <f>HYPERLINK("D:\python\英语学习\voices\"&amp;B1198&amp;"_1.mp3","BrE")</f>
        <v/>
      </c>
      <c r="H1198" s="18">
        <f>HYPERLINK("D:\python\英语学习\voices\"&amp;B1198&amp;"_2.mp3","AmE")</f>
        <v/>
      </c>
      <c r="I1198" s="18">
        <f>HYPERLINK("http://dict.youdao.com/w/"&amp;B1198,"有道")</f>
        <v/>
      </c>
    </row>
    <row customHeight="1" ht="28.5" r="1199">
      <c r="B1199" s="1" t="inlineStr">
        <is>
          <t>metric</t>
        </is>
      </c>
      <c r="C1199" s="7">
        <f>"adj. 公制的；米制的；公尺的"&amp;CHAR(10)&amp;"n. 度量标准"</f>
        <v/>
      </c>
      <c r="G1199" s="18">
        <f>HYPERLINK("D:\python\英语学习\voices\"&amp;B1199&amp;"_1.mp3","BrE")</f>
        <v/>
      </c>
      <c r="H1199" s="18">
        <f>HYPERLINK("D:\python\英语学习\voices\"&amp;B1199&amp;"_2.mp3","AmE")</f>
        <v/>
      </c>
      <c r="I1199" s="18">
        <f>HYPERLINK("http://dict.youdao.com/w/"&amp;B1199,"有道")</f>
        <v/>
      </c>
    </row>
    <row customHeight="1" ht="28.5" r="1200">
      <c r="B1200" s="1" t="inlineStr">
        <is>
          <t>metropolitan</t>
        </is>
      </c>
      <c r="C1200" s="7">
        <f>"adj. 大都市的；大主教辖区的；宗主国的"&amp;CHAR(10)&amp;"n. 大城市人；大主教；宗主国的公民"</f>
        <v/>
      </c>
      <c r="G1200" s="18">
        <f>HYPERLINK("D:\python\英语学习\voices\"&amp;B1200&amp;"_1.mp3","BrE")</f>
        <v/>
      </c>
      <c r="H1200" s="18">
        <f>HYPERLINK("D:\python\英语学习\voices\"&amp;B1200&amp;"_2.mp3","AmE")</f>
        <v/>
      </c>
      <c r="I1200" s="18">
        <f>HYPERLINK("http://dict.youdao.com/w/"&amp;B1200,"有道")</f>
        <v/>
      </c>
    </row>
    <row customHeight="1" ht="28.5" r="1201">
      <c r="B1201" s="1" t="inlineStr">
        <is>
          <t>militant</t>
        </is>
      </c>
      <c r="C1201" s="7">
        <f>"adj. 好战的"&amp;CHAR(10)&amp;"n. 富有战斗性的人；好斗者；激进分子"</f>
        <v/>
      </c>
      <c r="G1201" s="18">
        <f>HYPERLINK("D:\python\英语学习\voices\"&amp;B1201&amp;"_1.mp3","BrE")</f>
        <v/>
      </c>
      <c r="H1201" s="18">
        <f>HYPERLINK("D:\python\英语学习\voices\"&amp;B1201&amp;"_2.mp3","AmE")</f>
        <v/>
      </c>
      <c r="I1201" s="18">
        <f>HYPERLINK("http://dict.youdao.com/w/"&amp;B1201,"有道")</f>
        <v/>
      </c>
    </row>
    <row customHeight="1" ht="42.75" r="1202">
      <c r="B1202" s="1" t="inlineStr">
        <is>
          <t>mingle</t>
        </is>
      </c>
      <c r="C1202" s="7">
        <f>"vi. 混合；交往"&amp;CHAR(10)&amp;"vt. 使混合；使相混"&amp;CHAR(10)&amp;"n. (Mingle)人名；(加纳、英)明格尔"</f>
        <v/>
      </c>
      <c r="G1202" s="18">
        <f>HYPERLINK("D:\python\英语学习\voices\"&amp;B1202&amp;"_1.mp3","BrE")</f>
        <v/>
      </c>
      <c r="H1202" s="18">
        <f>HYPERLINK("D:\python\英语学习\voices\"&amp;B1202&amp;"_2.mp3","AmE")</f>
        <v/>
      </c>
      <c r="I1202" s="18">
        <f>HYPERLINK("http://dict.youdao.com/w/"&amp;B1202,"有道")</f>
        <v/>
      </c>
    </row>
    <row customHeight="1" ht="42.75" r="1203">
      <c r="B1203" s="1" t="inlineStr">
        <is>
          <t>miniature</t>
        </is>
      </c>
      <c r="C1203" s="7">
        <f>"adj. 微型的，小规模的"&amp;CHAR(10)&amp;"n. 缩图；微型画；微型图画绘画术"&amp;CHAR(10)&amp;"vt. 是…的缩影"</f>
        <v/>
      </c>
      <c r="E1203" s="6" t="inlineStr">
        <is>
          <t>注意拼写</t>
        </is>
      </c>
      <c r="G1203" s="18">
        <f>HYPERLINK("D:\python\英语学习\voices\"&amp;B1203&amp;"_1.mp3","BrE")</f>
        <v/>
      </c>
      <c r="H1203" s="18">
        <f>HYPERLINK("D:\python\英语学习\voices\"&amp;B1203&amp;"_2.mp3","AmE")</f>
        <v/>
      </c>
      <c r="I1203" s="18">
        <f>HYPERLINK("http://dict.youdao.com/w/"&amp;B1203,"有道")</f>
        <v/>
      </c>
    </row>
    <row r="1204">
      <c r="B1204" s="1" t="inlineStr">
        <is>
          <t>mischief</t>
        </is>
      </c>
      <c r="C1204" s="7">
        <f>"n. 恶作剧；伤害；顽皮；不和"</f>
        <v/>
      </c>
      <c r="G1204" s="18">
        <f>HYPERLINK("D:\python\英语学习\voices\"&amp;B1204&amp;"_1.mp3","BrE")</f>
        <v/>
      </c>
      <c r="H1204" s="18">
        <f>HYPERLINK("D:\python\英语学习\voices\"&amp;B1204&amp;"_2.mp3","AmE")</f>
        <v/>
      </c>
      <c r="I1204" s="18">
        <f>HYPERLINK("http://dict.youdao.com/w/"&amp;B1204,"有道")</f>
        <v/>
      </c>
    </row>
    <row r="1205">
      <c r="B1205" s="1" t="inlineStr">
        <is>
          <t>mistress</t>
        </is>
      </c>
      <c r="C1205" s="7">
        <f>"n. 情妇；女主人；主妇；女教师；女能人"</f>
        <v/>
      </c>
      <c r="G1205" s="18">
        <f>HYPERLINK("D:\python\英语学习\voices\"&amp;B1205&amp;"_1.mp3","BrE")</f>
        <v/>
      </c>
      <c r="H1205" s="18">
        <f>HYPERLINK("D:\python\英语学习\voices\"&amp;B1205&amp;"_2.mp3","AmE")</f>
        <v/>
      </c>
      <c r="I1205" s="18">
        <f>HYPERLINK("http://dict.youdao.com/w/"&amp;B1205,"有道")</f>
        <v/>
      </c>
    </row>
    <row customHeight="1" ht="28.5" r="1206">
      <c r="A1206" s="1" t="inlineStr">
        <is>
          <t>practice</t>
        </is>
      </c>
      <c r="B1206" s="1" t="inlineStr">
        <is>
          <t>clench</t>
        </is>
      </c>
      <c r="C1206" s="7">
        <f>"vt. 紧握；确定；把…敲弯"&amp;CHAR(10)&amp;"vi. 握紧；钉牢"&amp;CHAR(10)&amp;"n. 紧抓；敲环脚"&amp;CHAR(10)&amp;"n. (Clench)人名；(英)克伦奇"</f>
        <v/>
      </c>
      <c r="E1206" s="6" t="inlineStr">
        <is>
          <t>clench fist/teeth 常指因生气握紧拳头，咬紧牙</t>
        </is>
      </c>
      <c r="G1206" s="18">
        <f>HYPERLINK("D:\python\英语学习\voices\"&amp;B1206&amp;"_1.mp3","BrE")</f>
        <v/>
      </c>
      <c r="H1206" s="18">
        <f>HYPERLINK("D:\python\英语学习\voices\"&amp;B1206&amp;"_2.mp3","AmE")</f>
        <v/>
      </c>
      <c r="I1206" s="18">
        <f>HYPERLINK("http://dict.youdao.com/w/"&amp;B1206,"有道")</f>
        <v/>
      </c>
    </row>
    <row customHeight="1" ht="42.75" r="1207">
      <c r="B1207" s="1" t="inlineStr">
        <is>
          <t>mob</t>
        </is>
      </c>
      <c r="C1207" s="7">
        <f>"n. 暴民，暴徒；民众；乌合之众"&amp;CHAR(10)&amp;"vt. 大举包围，围攻；蜂拥进入"&amp;CHAR(10)&amp;"vi. 聚众生事，聚众滋事"</f>
        <v/>
      </c>
      <c r="G1207" s="18">
        <f>HYPERLINK("D:\python\英语学习\voices\"&amp;B1207&amp;"_1.mp3","BrE")</f>
        <v/>
      </c>
      <c r="H1207" s="18">
        <f>HYPERLINK("D:\python\英语学习\voices\"&amp;B1207&amp;"_2.mp3","AmE")</f>
        <v/>
      </c>
      <c r="I1207" s="18">
        <f>HYPERLINK("http://dict.youdao.com/w/"&amp;B1207,"有道")</f>
        <v/>
      </c>
    </row>
    <row customHeight="1" ht="42.75" r="1208">
      <c r="B1208" s="1" t="inlineStr">
        <is>
          <t>mobilize</t>
        </is>
      </c>
      <c r="C1208" s="7">
        <f>"vt. 动员，调动；集合，组织；使…流通；使…松动"&amp;CHAR(10)&amp;"vi. 组织；动员起来"</f>
        <v/>
      </c>
      <c r="G1208" s="18">
        <f>HYPERLINK("D:\python\英语学习\voices\"&amp;B1208&amp;"_1.mp3","BrE")</f>
        <v/>
      </c>
      <c r="H1208" s="18">
        <f>HYPERLINK("D:\python\英语学习\voices\"&amp;B1208&amp;"_2.mp3","AmE")</f>
        <v/>
      </c>
      <c r="I1208" s="18">
        <f>HYPERLINK("http://dict.youdao.com/w/"&amp;B1208,"有道")</f>
        <v/>
      </c>
    </row>
    <row r="1209">
      <c r="B1209" s="1" t="inlineStr">
        <is>
          <t>moderately</t>
        </is>
      </c>
      <c r="C1209" s="7">
        <f>"adv. 适度地；中庸地；有节制地"</f>
        <v/>
      </c>
      <c r="G1209" s="18">
        <f>HYPERLINK("D:\python\英语学习\voices\"&amp;B1209&amp;"_1.mp3","BrE")</f>
        <v/>
      </c>
      <c r="H1209" s="18">
        <f>HYPERLINK("D:\python\英语学习\voices\"&amp;B1209&amp;"_2.mp3","AmE")</f>
        <v/>
      </c>
      <c r="I1209" s="18">
        <f>HYPERLINK("http://dict.youdao.com/w/"&amp;B1209,"有道")</f>
        <v/>
      </c>
    </row>
    <row customHeight="1" ht="28.5" r="1210">
      <c r="B1210" s="1" t="inlineStr">
        <is>
          <t>modulate</t>
        </is>
      </c>
      <c r="C1210" s="7">
        <f>"vt. 调节；（信号）调制；调整"&amp;CHAR(10)&amp;"vi. 调制；转调"</f>
        <v/>
      </c>
      <c r="G1210" s="18">
        <f>HYPERLINK("D:\python\英语学习\voices\"&amp;B1210&amp;"_1.mp3","BrE")</f>
        <v/>
      </c>
      <c r="H1210" s="18">
        <f>HYPERLINK("D:\python\英语学习\voices\"&amp;B1210&amp;"_2.mp3","AmE")</f>
        <v/>
      </c>
      <c r="I1210" s="18">
        <f>HYPERLINK("http://dict.youdao.com/w/"&amp;B1210,"有道")</f>
        <v/>
      </c>
    </row>
    <row customHeight="1" ht="28.5" r="1211">
      <c r="B1211" s="1" t="inlineStr">
        <is>
          <t>moist</t>
        </is>
      </c>
      <c r="C1211" s="7">
        <f>"adj. 潮湿的；多雨的；含泪的"&amp;CHAR(10)&amp;"n. 潮湿"</f>
        <v/>
      </c>
      <c r="G1211" s="18">
        <f>HYPERLINK("D:\python\英语学习\voices\"&amp;B1211&amp;"_1.mp3","BrE")</f>
        <v/>
      </c>
      <c r="H1211" s="18">
        <f>HYPERLINK("D:\python\英语学习\voices\"&amp;B1211&amp;"_2.mp3","AmE")</f>
        <v/>
      </c>
      <c r="I1211" s="18">
        <f>HYPERLINK("http://dict.youdao.com/w/"&amp;B1211,"有道")</f>
        <v/>
      </c>
    </row>
    <row customHeight="1" ht="28.5" r="1212">
      <c r="A1212" s="1" t="inlineStr">
        <is>
          <t>practice</t>
        </is>
      </c>
      <c r="B1212" s="1" t="inlineStr">
        <is>
          <t>coherent</t>
        </is>
      </c>
      <c r="C1212" s="7">
        <f>"adj. 连贯的，一致的；明了的；清晰的；凝聚性的；互相耦合的；粘在一起的"</f>
        <v/>
      </c>
      <c r="G1212" s="18">
        <f>HYPERLINK("D:\python\英语学习\voices\"&amp;B1212&amp;"_1.mp3","BrE")</f>
        <v/>
      </c>
      <c r="H1212" s="18">
        <f>HYPERLINK("D:\python\英语学习\voices\"&amp;B1212&amp;"_2.mp3","AmE")</f>
        <v/>
      </c>
      <c r="I1212" s="18">
        <f>HYPERLINK("http://dict.youdao.com/w/"&amp;B1212,"有道")</f>
        <v/>
      </c>
    </row>
    <row r="1213">
      <c r="B1213" s="1" t="inlineStr">
        <is>
          <t>monarch</t>
        </is>
      </c>
      <c r="C1213" s="7">
        <f>"n. 君主，帝王；最高统治者"</f>
        <v/>
      </c>
      <c r="G1213" s="18">
        <f>HYPERLINK("D:\python\英语学习\voices\"&amp;B1213&amp;"_1.mp3","BrE")</f>
        <v/>
      </c>
      <c r="H1213" s="18">
        <f>HYPERLINK("D:\python\英语学习\voices\"&amp;B1213&amp;"_2.mp3","AmE")</f>
        <v/>
      </c>
      <c r="I1213" s="18">
        <f>HYPERLINK("http://dict.youdao.com/w/"&amp;B1213,"有道")</f>
        <v/>
      </c>
    </row>
    <row r="1214">
      <c r="B1214" s="1" t="inlineStr">
        <is>
          <t>monarchy</t>
        </is>
      </c>
      <c r="C1214" s="7">
        <f>"n. 君主政体；君主国；君主政治"</f>
        <v/>
      </c>
      <c r="G1214" s="18">
        <f>HYPERLINK("D:\python\英语学习\voices\"&amp;B1214&amp;"_1.mp3","BrE")</f>
        <v/>
      </c>
      <c r="H1214" s="18">
        <f>HYPERLINK("D:\python\英语学习\voices\"&amp;B1214&amp;"_2.mp3","AmE")</f>
        <v/>
      </c>
      <c r="I1214" s="18">
        <f>HYPERLINK("http://dict.youdao.com/w/"&amp;B1214,"有道")</f>
        <v/>
      </c>
    </row>
    <row r="1215">
      <c r="B1215" s="1" t="inlineStr">
        <is>
          <t>monopoly</t>
        </is>
      </c>
      <c r="C1215" s="7">
        <f>"n. 垄断；垄断者；专卖权"</f>
        <v/>
      </c>
      <c r="D1215" s="6" t="inlineStr">
        <is>
          <t>monopo-拼写hint</t>
        </is>
      </c>
      <c r="G1215" s="18">
        <f>HYPERLINK("D:\python\英语学习\voices\"&amp;B1215&amp;"_1.mp3","BrE")</f>
        <v/>
      </c>
      <c r="H1215" s="18">
        <f>HYPERLINK("D:\python\英语学习\voices\"&amp;B1215&amp;"_2.mp3","AmE")</f>
        <v/>
      </c>
      <c r="I1215" s="18">
        <f>HYPERLINK("http://dict.youdao.com/w/"&amp;B1215,"有道")</f>
        <v/>
      </c>
    </row>
    <row r="1216">
      <c r="B1216" s="1" t="inlineStr">
        <is>
          <t>monotonous</t>
        </is>
      </c>
      <c r="C1216" s="7">
        <f>"adj. 单调的，无抑扬顿挫的；无变化的"</f>
        <v/>
      </c>
      <c r="D1216" s="6" t="inlineStr">
        <is>
          <t>monotono单调极了</t>
        </is>
      </c>
      <c r="G1216" s="18">
        <f>HYPERLINK("D:\python\英语学习\voices\"&amp;B1216&amp;"_1.mp3","BrE")</f>
        <v/>
      </c>
      <c r="H1216" s="18">
        <f>HYPERLINK("D:\python\英语学习\voices\"&amp;B1216&amp;"_2.mp3","AmE")</f>
        <v/>
      </c>
      <c r="I1216" s="18">
        <f>HYPERLINK("http://dict.youdao.com/w/"&amp;B1216,"有道")</f>
        <v/>
      </c>
    </row>
    <row customHeight="1" ht="28.5" r="1217">
      <c r="B1217" s="1" t="inlineStr">
        <is>
          <t>moor</t>
        </is>
      </c>
      <c r="C1217" s="7">
        <f>"vt. 系住；使停泊"&amp;CHAR(10)&amp;"n. 沼泽；荒野"</f>
        <v/>
      </c>
      <c r="G1217" s="18">
        <f>HYPERLINK("D:\python\英语学习\voices\"&amp;B1217&amp;"_1.mp3","BrE")</f>
        <v/>
      </c>
      <c r="H1217" s="18">
        <f>HYPERLINK("D:\python\英语学习\voices\"&amp;B1217&amp;"_2.mp3","AmE")</f>
        <v/>
      </c>
      <c r="I1217" s="18">
        <f>HYPERLINK("http://dict.youdao.com/w/"&amp;B1217,"有道")</f>
        <v/>
      </c>
    </row>
    <row r="1218">
      <c r="B1218" s="1" t="inlineStr">
        <is>
          <t>morality</t>
        </is>
      </c>
      <c r="C1218" s="7">
        <f>"n. 道德；品行，美德"</f>
        <v/>
      </c>
      <c r="G1218" s="18">
        <f>HYPERLINK("D:\python\英语学习\voices\"&amp;B1218&amp;"_1.mp3","BrE")</f>
        <v/>
      </c>
      <c r="H1218" s="18">
        <f>HYPERLINK("D:\python\英语学习\voices\"&amp;B1218&amp;"_2.mp3","AmE")</f>
        <v/>
      </c>
      <c r="I1218" s="18">
        <f>HYPERLINK("http://dict.youdao.com/w/"&amp;B1218,"有道")</f>
        <v/>
      </c>
    </row>
    <row r="1219">
      <c r="B1219" s="1" t="inlineStr">
        <is>
          <t>morpheme</t>
        </is>
      </c>
      <c r="C1219" s="7">
        <f>"n. [语] 词素；形态素"</f>
        <v/>
      </c>
      <c r="G1219" s="18">
        <f>HYPERLINK("D:\python\英语学习\voices\"&amp;B1219&amp;"_1.mp3","BrE")</f>
        <v/>
      </c>
      <c r="H1219" s="18">
        <f>HYPERLINK("D:\python\英语学习\voices\"&amp;B1219&amp;"_2.mp3","AmE")</f>
        <v/>
      </c>
      <c r="I1219" s="18">
        <f>HYPERLINK("http://dict.youdao.com/w/"&amp;B1219,"有道")</f>
        <v/>
      </c>
    </row>
    <row customHeight="1" ht="29.1" r="1220">
      <c r="B1220" s="1" t="inlineStr">
        <is>
          <t>morphology</t>
        </is>
      </c>
      <c r="C1220" s="7">
        <f>"n. 形态学，形态论；[语] 词法，[语] 词态学"</f>
        <v/>
      </c>
      <c r="G1220" s="18">
        <f>HYPERLINK("D:\python\英语学习\voices\"&amp;B1220&amp;"_1.mp3","BrE")</f>
        <v/>
      </c>
      <c r="H1220" s="18">
        <f>HYPERLINK("D:\python\英语学习\voices\"&amp;B1220&amp;"_2.mp3","AmE")</f>
        <v/>
      </c>
      <c r="I1220" s="18">
        <f>HYPERLINK("http://dict.youdao.com/w/"&amp;B1220,"有道")</f>
        <v/>
      </c>
    </row>
    <row customHeight="1" ht="57" r="1221">
      <c r="B1221" s="1" t="inlineStr">
        <is>
          <t>mortal</t>
        </is>
      </c>
      <c r="C1221" s="7">
        <f>"adj. 凡人的；致死的；终有一死的；不共戴天的"&amp;CHAR(10)&amp;"n. 人类，凡人"&amp;CHAR(10)&amp;"n. (Mortal)人名；(法、葡)莫塔尔"</f>
        <v/>
      </c>
      <c r="G1221" s="18">
        <f>HYPERLINK("D:\python\英语学习\voices\"&amp;B1221&amp;"_1.mp3","BrE")</f>
        <v/>
      </c>
      <c r="H1221" s="18">
        <f>HYPERLINK("D:\python\英语学习\voices\"&amp;B1221&amp;"_2.mp3","AmE")</f>
        <v/>
      </c>
      <c r="I1221" s="18">
        <f>HYPERLINK("http://dict.youdao.com/w/"&amp;B1221,"有道")</f>
        <v/>
      </c>
    </row>
    <row customHeight="1" ht="28.5" r="1222">
      <c r="B1222" s="1" t="inlineStr">
        <is>
          <t>mortar</t>
        </is>
      </c>
      <c r="C1222" s="7">
        <f>"n. 迫击炮；臼，研钵；灰浆"&amp;CHAR(10)&amp;"vt. 用灰泥涂抹，用灰泥结合"</f>
        <v/>
      </c>
      <c r="G1222" s="18">
        <f>HYPERLINK("D:\python\英语学习\voices\"&amp;B1222&amp;"_1.mp3","BrE")</f>
        <v/>
      </c>
      <c r="H1222" s="18">
        <f>HYPERLINK("D:\python\英语学习\voices\"&amp;B1222&amp;"_2.mp3","AmE")</f>
        <v/>
      </c>
      <c r="I1222" s="18">
        <f>HYPERLINK("http://dict.youdao.com/w/"&amp;B1222,"有道")</f>
        <v/>
      </c>
    </row>
    <row customHeight="1" ht="28.5" r="1223">
      <c r="B1223" s="1" t="inlineStr">
        <is>
          <t>mosaic</t>
        </is>
      </c>
      <c r="C1223" s="7">
        <f>"adj. 摩西的；拼成的；嵌花式的"&amp;CHAR(10)&amp;"n. 马赛克；镶嵌；镶嵌细工"</f>
        <v/>
      </c>
      <c r="G1223" s="18">
        <f>HYPERLINK("D:\python\英语学习\voices\"&amp;B1223&amp;"_1.mp3","BrE")</f>
        <v/>
      </c>
      <c r="H1223" s="18">
        <f>HYPERLINK("D:\python\英语学习\voices\"&amp;B1223&amp;"_2.mp3","AmE")</f>
        <v/>
      </c>
      <c r="I1223" s="18">
        <f>HYPERLINK("http://dict.youdao.com/w/"&amp;B1223,"有道")</f>
        <v/>
      </c>
    </row>
    <row customHeight="1" ht="57" r="1224">
      <c r="B1224" s="1" t="inlineStr">
        <is>
          <t>moss</t>
        </is>
      </c>
      <c r="C1224" s="7">
        <f>"n. 苔藓；泥沼"&amp;CHAR(10)&amp;"vt. 使长满苔藓"&amp;CHAR(10)&amp;"n. (Moss)人名；(英、德、意、西、葡、波、挪、瑞典)莫斯"</f>
        <v/>
      </c>
      <c r="G1224" s="18">
        <f>HYPERLINK("D:\python\英语学习\voices\"&amp;B1224&amp;"_1.mp3","BrE")</f>
        <v/>
      </c>
      <c r="H1224" s="18">
        <f>HYPERLINK("D:\python\英语学习\voices\"&amp;B1224&amp;"_2.mp3","AmE")</f>
        <v/>
      </c>
      <c r="I1224" s="18">
        <f>HYPERLINK("http://dict.youdao.com/w/"&amp;B1224,"有道")</f>
        <v/>
      </c>
    </row>
    <row r="1225">
      <c r="B1225" s="1" t="inlineStr">
        <is>
          <t>motorway</t>
        </is>
      </c>
      <c r="C1225" s="7">
        <f>"n. 高速公路，汽车高速公路"</f>
        <v/>
      </c>
      <c r="G1225" s="18">
        <f>HYPERLINK("D:\python\英语学习\voices\"&amp;B1225&amp;"_1.mp3","BrE")</f>
        <v/>
      </c>
      <c r="H1225" s="18">
        <f>HYPERLINK("D:\python\英语学习\voices\"&amp;B1225&amp;"_2.mp3","AmE")</f>
        <v/>
      </c>
      <c r="I1225" s="18">
        <f>HYPERLINK("http://dict.youdao.com/w/"&amp;B1225,"有道")</f>
        <v/>
      </c>
    </row>
    <row customHeight="1" ht="57" r="1226">
      <c r="B1226" s="1" t="inlineStr">
        <is>
          <t>mould</t>
        </is>
      </c>
      <c r="C1226" s="7">
        <f>"vi. 发霉"&amp;CHAR(10)&amp;"vt. 浇铸；用泥土覆盖"&amp;CHAR(10)&amp;"n. 模具；霉"&amp;CHAR(10)&amp;"n. (Mould)人名；(英)莫尔德"</f>
        <v/>
      </c>
      <c r="G1226" s="18">
        <f>HYPERLINK("D:\python\英语学习\voices\"&amp;B1226&amp;"_1.mp3","BrE")</f>
        <v/>
      </c>
      <c r="H1226" s="18">
        <f>HYPERLINK("D:\python\英语学习\voices\"&amp;B1226&amp;"_2.mp3","AmE")</f>
        <v/>
      </c>
      <c r="I1226" s="18">
        <f>HYPERLINK("http://dict.youdao.com/w/"&amp;B1226,"有道")</f>
        <v/>
      </c>
    </row>
    <row customHeight="1" ht="42.75" r="1227">
      <c r="B1227" s="1" t="inlineStr">
        <is>
          <t>mound</t>
        </is>
      </c>
      <c r="C1227" s="7">
        <f>"n. 堆；高地；坟堆；护堤"&amp;CHAR(10)&amp;"vt. 堆起；筑堤"&amp;CHAR(10)&amp;"vi. 积成堆"</f>
        <v/>
      </c>
      <c r="G1227" s="18">
        <f>HYPERLINK("D:\python\英语学习\voices\"&amp;B1227&amp;"_1.mp3","BrE")</f>
        <v/>
      </c>
      <c r="H1227" s="18">
        <f>HYPERLINK("D:\python\英语学习\voices\"&amp;B1227&amp;"_2.mp3","AmE")</f>
        <v/>
      </c>
      <c r="I1227" s="18">
        <f>HYPERLINK("http://dict.youdao.com/w/"&amp;B1227,"有道")</f>
        <v/>
      </c>
    </row>
    <row customHeight="1" ht="99.75" r="1228">
      <c r="B1228" s="1" t="inlineStr">
        <is>
          <t>mount</t>
        </is>
      </c>
      <c r="C1228" s="7">
        <f>"vt. 增加；爬上；使骑上马；安装，架置；镶嵌，嵌入；准备上演；成立（军队等）"&amp;CHAR(10)&amp;"vi. 爬；增加；上升"&amp;CHAR(10)&amp;"n. 山峰；底座；乘骑用马；攀，登；运载工具；底座"&amp;CHAR(10)&amp;"n. （英）芒特（人名）"&amp;CHAR(10)&amp;"v. 登上；骑上"</f>
        <v/>
      </c>
      <c r="G1228" s="18">
        <f>HYPERLINK("D:\python\英语学习\voices\"&amp;B1228&amp;"_1.mp3","BrE")</f>
        <v/>
      </c>
      <c r="H1228" s="18">
        <f>HYPERLINK("D:\python\英语学习\voices\"&amp;B1228&amp;"_2.mp3","AmE")</f>
        <v/>
      </c>
      <c r="I1228" s="18">
        <f>HYPERLINK("http://dict.youdao.com/w/"&amp;B1228,"有道")</f>
        <v/>
      </c>
    </row>
    <row r="1229">
      <c r="B1229" s="1" t="inlineStr">
        <is>
          <t>muffler</t>
        </is>
      </c>
      <c r="C1229" s="7">
        <f>"n. 围巾；消音器；面纱；厚手套"</f>
        <v/>
      </c>
      <c r="G1229" s="18">
        <f>HYPERLINK("D:\python\英语学习\voices\"&amp;B1229&amp;"_1.mp3","BrE")</f>
        <v/>
      </c>
      <c r="H1229" s="18">
        <f>HYPERLINK("D:\python\英语学习\voices\"&amp;B1229&amp;"_2.mp3","AmE")</f>
        <v/>
      </c>
      <c r="I1229" s="18">
        <f>HYPERLINK("http://dict.youdao.com/w/"&amp;B1229,"有道")</f>
        <v/>
      </c>
    </row>
    <row customHeight="1" ht="42.75" r="1230">
      <c r="B1230" s="1" t="inlineStr">
        <is>
          <t>mug</t>
        </is>
      </c>
      <c r="C1230" s="7">
        <f>"n. 杯子；脸；苦读者"&amp;CHAR(10)&amp;"vi. 扮鬼脸，做怪相"&amp;CHAR(10)&amp;"vt. 行凶抢劫"</f>
        <v/>
      </c>
      <c r="G1230" s="18">
        <f>HYPERLINK("D:\python\英语学习\voices\"&amp;B1230&amp;"_1.mp3","BrE")</f>
        <v/>
      </c>
      <c r="H1230" s="18">
        <f>HYPERLINK("D:\python\英语学习\voices\"&amp;B1230&amp;"_2.mp3","AmE")</f>
        <v/>
      </c>
      <c r="I1230" s="18">
        <f>HYPERLINK("http://dict.youdao.com/w/"&amp;B1230,"有道")</f>
        <v/>
      </c>
    </row>
    <row r="1231">
      <c r="B1231" s="1" t="inlineStr">
        <is>
          <t>multilateral</t>
        </is>
      </c>
      <c r="C1231" s="7">
        <f>"adj. [数] 多边的；多国的，多国参加的"</f>
        <v/>
      </c>
      <c r="G1231" s="18">
        <f>HYPERLINK("D:\python\英语学习\voices\"&amp;B1231&amp;"_1.mp3","BrE")</f>
        <v/>
      </c>
      <c r="H1231" s="18">
        <f>HYPERLINK("D:\python\英语学习\voices\"&amp;B1231&amp;"_2.mp3","AmE")</f>
        <v/>
      </c>
      <c r="I1231" s="18">
        <f>HYPERLINK("http://dict.youdao.com/w/"&amp;B1231,"有道")</f>
        <v/>
      </c>
    </row>
    <row r="1232">
      <c r="B1232" s="1" t="inlineStr">
        <is>
          <t>multitude</t>
        </is>
      </c>
      <c r="C1232" s="7">
        <f>"n. 群众；多数"</f>
        <v/>
      </c>
      <c r="G1232" s="18">
        <f>HYPERLINK("D:\python\英语学习\voices\"&amp;B1232&amp;"_1.mp3","BrE")</f>
        <v/>
      </c>
      <c r="H1232" s="18">
        <f>HYPERLINK("D:\python\英语学习\voices\"&amp;B1232&amp;"_2.mp3","AmE")</f>
        <v/>
      </c>
      <c r="I1232" s="18">
        <f>HYPERLINK("http://dict.youdao.com/w/"&amp;B1232,"有道")</f>
        <v/>
      </c>
    </row>
    <row r="1233">
      <c r="B1233" s="1" t="inlineStr">
        <is>
          <t>mundane</t>
        </is>
      </c>
      <c r="C1233" s="7">
        <f>"adj. 世俗的，平凡的；世界的，宇宙的"</f>
        <v/>
      </c>
      <c r="G1233" s="18">
        <f>HYPERLINK("D:\python\英语学习\voices\"&amp;B1233&amp;"_1.mp3","BrE")</f>
        <v/>
      </c>
      <c r="H1233" s="18">
        <f>HYPERLINK("D:\python\英语学习\voices\"&amp;B1233&amp;"_2.mp3","AmE")</f>
        <v/>
      </c>
      <c r="I1233" s="18">
        <f>HYPERLINK("http://dict.youdao.com/w/"&amp;B1233,"有道")</f>
        <v/>
      </c>
    </row>
    <row customHeight="1" ht="42.75" r="1234">
      <c r="B1234" s="1" t="inlineStr">
        <is>
          <t>murmur</t>
        </is>
      </c>
      <c r="C1234" s="7">
        <f>"n. 低语；低语声；低声抱怨；潺潺声"&amp;CHAR(10)&amp;"vi. 低声说；私下抱怨；发出轻柔持续的声音"&amp;CHAR(10)&amp;"vt. 低声说"</f>
        <v/>
      </c>
      <c r="G1234" s="18">
        <f>HYPERLINK("D:\python\英语学习\voices\"&amp;B1234&amp;"_1.mp3","BrE")</f>
        <v/>
      </c>
      <c r="H1234" s="18">
        <f>HYPERLINK("D:\python\英语学习\voices\"&amp;B1234&amp;"_2.mp3","AmE")</f>
        <v/>
      </c>
      <c r="I1234" s="18">
        <f>HYPERLINK("http://dict.youdao.com/w/"&amp;B1234,"有道")</f>
        <v/>
      </c>
    </row>
    <row customHeight="1" ht="42.75" r="1235">
      <c r="B1235" s="1" t="inlineStr">
        <is>
          <t>muscle</t>
        </is>
      </c>
      <c r="C1235" s="7">
        <f>"n. 肌肉；力量"&amp;CHAR(10)&amp;"vt. 加强；使劲搬动；使劲挤出"&amp;CHAR(10)&amp;"vi. 使劲行进"</f>
        <v/>
      </c>
      <c r="E1235" s="6" t="inlineStr">
        <is>
          <t>muscle in (on sth)强行干涉</t>
        </is>
      </c>
      <c r="G1235" s="18">
        <f>HYPERLINK("D:\python\英语学习\voices\"&amp;B1235&amp;"_1.mp3","BrE")</f>
        <v/>
      </c>
      <c r="H1235" s="18">
        <f>HYPERLINK("D:\python\英语学习\voices\"&amp;B1235&amp;"_2.mp3","AmE")</f>
        <v/>
      </c>
      <c r="I1235" s="18">
        <f>HYPERLINK("http://dict.youdao.com/w/"&amp;B1235,"有道")</f>
        <v/>
      </c>
    </row>
    <row customHeight="1" ht="42.75" r="1236">
      <c r="B1236" s="1" t="inlineStr">
        <is>
          <t>muse</t>
        </is>
      </c>
      <c r="C1236" s="7">
        <f>"n. 沉思；冥想"&amp;CHAR(10)&amp;"vt. 沉思；沉思地说"&amp;CHAR(10)&amp;"vi. 沉思；凝望"</f>
        <v/>
      </c>
      <c r="G1236" s="18">
        <f>HYPERLINK("D:\python\英语学习\voices\"&amp;B1236&amp;"_1.mp3","BrE")</f>
        <v/>
      </c>
      <c r="H1236" s="18">
        <f>HYPERLINK("D:\python\英语学习\voices\"&amp;B1236&amp;"_2.mp3","AmE")</f>
        <v/>
      </c>
      <c r="I1236" s="18">
        <f>HYPERLINK("http://dict.youdao.com/w/"&amp;B1236,"有道")</f>
        <v/>
      </c>
    </row>
    <row r="1237">
      <c r="A1237" s="1" t="inlineStr">
        <is>
          <t>practice</t>
        </is>
      </c>
      <c r="B1237" s="1" t="inlineStr">
        <is>
          <t>comprise</t>
        </is>
      </c>
      <c r="C1237" s="7">
        <f>"vt. 包含；由…组成"</f>
        <v/>
      </c>
      <c r="E1237" s="6" t="inlineStr">
        <is>
          <t>be comprised of</t>
        </is>
      </c>
      <c r="G1237" s="18">
        <f>HYPERLINK("D:\python\英语学习\voices\"&amp;B1237&amp;"_1.mp3","BrE")</f>
        <v/>
      </c>
      <c r="H1237" s="18">
        <f>HYPERLINK("D:\python\英语学习\voices\"&amp;B1237&amp;"_2.mp3","AmE")</f>
        <v/>
      </c>
      <c r="I1237" s="18">
        <f>HYPERLINK("http://dict.youdao.com/w/"&amp;B1237,"有道")</f>
        <v/>
      </c>
    </row>
    <row r="1238">
      <c r="B1238" s="1" t="inlineStr">
        <is>
          <t>mutation</t>
        </is>
      </c>
      <c r="C1238" s="7">
        <f>"n. [遗] 突变；变化；元音变化"</f>
        <v/>
      </c>
      <c r="G1238" s="18">
        <f>HYPERLINK("D:\python\英语学习\voices\"&amp;B1238&amp;"_1.mp3","BrE")</f>
        <v/>
      </c>
      <c r="H1238" s="18">
        <f>HYPERLINK("D:\python\英语学习\voices\"&amp;B1238&amp;"_2.mp3","AmE")</f>
        <v/>
      </c>
      <c r="I1238" s="18">
        <f>HYPERLINK("http://dict.youdao.com/w/"&amp;B1238,"有道")</f>
        <v/>
      </c>
    </row>
    <row customHeight="1" ht="71.25" r="1239">
      <c r="B1239" s="1" t="inlineStr">
        <is>
          <t>mutter</t>
        </is>
      </c>
      <c r="C1239" s="7">
        <f>"vi. 咕哝；喃喃自语"&amp;CHAR(10)&amp;"vt. 咕哝；抱怨地说；低声含糊地说"&amp;CHAR(10)&amp;"n. 咕哝；喃喃低语"&amp;CHAR(10)&amp;"n. (Mutter)人名；(法)米泰；(德、匈、西)穆特；(英)马特"</f>
        <v/>
      </c>
      <c r="G1239" s="18">
        <f>HYPERLINK("D:\python\英语学习\voices\"&amp;B1239&amp;"_1.mp3","BrE")</f>
        <v/>
      </c>
      <c r="H1239" s="18">
        <f>HYPERLINK("D:\python\英语学习\voices\"&amp;B1239&amp;"_2.mp3","AmE")</f>
        <v/>
      </c>
      <c r="I1239" s="18">
        <f>HYPERLINK("http://dict.youdao.com/w/"&amp;B1239,"有道")</f>
        <v/>
      </c>
    </row>
    <row r="1240">
      <c r="B1240" s="1" t="inlineStr">
        <is>
          <t>mutton</t>
        </is>
      </c>
      <c r="C1240" s="7">
        <f>"n. 羊肉"</f>
        <v/>
      </c>
      <c r="G1240" s="18">
        <f>HYPERLINK("D:\python\英语学习\voices\"&amp;B1240&amp;"_1.mp3","BrE")</f>
        <v/>
      </c>
      <c r="H1240" s="18">
        <f>HYPERLINK("D:\python\英语学习\voices\"&amp;B1240&amp;"_2.mp3","AmE")</f>
        <v/>
      </c>
      <c r="I1240" s="18">
        <f>HYPERLINK("http://dict.youdao.com/w/"&amp;B1240,"有道")</f>
        <v/>
      </c>
    </row>
    <row r="1241">
      <c r="B1241" s="1" t="inlineStr">
        <is>
          <t>mutual</t>
        </is>
      </c>
      <c r="C1241" s="7">
        <f>"adj. 共同的；相互的，彼此的"</f>
        <v/>
      </c>
      <c r="E1241" s="6" t="inlineStr">
        <is>
          <t>注意拼写，不是mutural</t>
        </is>
      </c>
      <c r="G1241" s="18">
        <f>HYPERLINK("D:\python\英语学习\voices\"&amp;B1241&amp;"_1.mp3","BrE")</f>
        <v/>
      </c>
      <c r="H1241" s="18">
        <f>HYPERLINK("D:\python\英语学习\voices\"&amp;B1241&amp;"_2.mp3","AmE")</f>
        <v/>
      </c>
      <c r="I1241" s="18">
        <f>HYPERLINK("http://dict.youdao.com/w/"&amp;B1241,"有道")</f>
        <v/>
      </c>
    </row>
    <row customHeight="1" ht="42.75" r="1242">
      <c r="A1242" s="1" t="inlineStr">
        <is>
          <t>practice</t>
        </is>
      </c>
      <c r="B1242" s="1" t="inlineStr">
        <is>
          <t>concoction</t>
        </is>
      </c>
      <c r="C1242" s="7">
        <f>"n. 混合；调合；调合物"</f>
        <v/>
      </c>
      <c r="G1242" s="18">
        <f>HYPERLINK("D:\python\英语学习\voices\"&amp;B1242&amp;"_1.mp3","BrE")</f>
        <v/>
      </c>
      <c r="H1242" s="18">
        <f>HYPERLINK("D:\python\英语学习\voices\"&amp;B1242&amp;"_2.mp3","AmE")</f>
        <v/>
      </c>
      <c r="I1242" s="18">
        <f>HYPERLINK("http://dict.youdao.com/w/"&amp;B1242,"有道")</f>
        <v/>
      </c>
    </row>
    <row customHeight="1" ht="57" r="1243">
      <c r="B1243" s="1" t="inlineStr">
        <is>
          <t>nap</t>
        </is>
      </c>
      <c r="C1243" s="7">
        <f>"n. 小睡，打盹儿；细毛；孤注一掷"&amp;CHAR(10)&amp;"vt. 使拉毛"&amp;CHAR(10)&amp;"vi. 小睡；疏忽"&amp;CHAR(10)&amp;"n. (Nap)人名；(朝、越)纳"</f>
        <v/>
      </c>
      <c r="G1243" s="18">
        <f>HYPERLINK("D:\python\英语学习\voices\"&amp;B1243&amp;"_1.mp3","BrE")</f>
        <v/>
      </c>
      <c r="H1243" s="18">
        <f>HYPERLINK("D:\python\英语学习\voices\"&amp;B1243&amp;"_2.mp3","AmE")</f>
        <v/>
      </c>
      <c r="I1243" s="18">
        <f>HYPERLINK("http://dict.youdao.com/w/"&amp;B1243,"有道")</f>
        <v/>
      </c>
    </row>
    <row customHeight="1" ht="42.75" r="1244">
      <c r="B1244" s="1" t="inlineStr">
        <is>
          <t>naught</t>
        </is>
      </c>
      <c r="C1244" s="7">
        <f>"n. [数] 零；无价值"&amp;CHAR(10)&amp;"adj. 无价值的；无用的"&amp;CHAR(10)&amp;"n. (Naught)人名；(英)诺特"</f>
        <v/>
      </c>
      <c r="G1244" s="18">
        <f>HYPERLINK("D:\python\英语学习\voices\"&amp;B1244&amp;"_1.mp3","BrE")</f>
        <v/>
      </c>
      <c r="H1244" s="18">
        <f>HYPERLINK("D:\python\英语学习\voices\"&amp;B1244&amp;"_2.mp3","AmE")</f>
        <v/>
      </c>
      <c r="I1244" s="18">
        <f>HYPERLINK("http://dict.youdao.com/w/"&amp;B1244,"有道")</f>
        <v/>
      </c>
    </row>
    <row r="1245">
      <c r="B1245" s="1" t="inlineStr">
        <is>
          <t>necessitate</t>
        </is>
      </c>
      <c r="C1245" s="7">
        <f>"vt. 使成为必需，需要；迫使"</f>
        <v/>
      </c>
      <c r="G1245" s="18">
        <f>HYPERLINK("D:\python\英语学习\voices\"&amp;B1245&amp;"_1.mp3","BrE")</f>
        <v/>
      </c>
      <c r="H1245" s="18">
        <f>HYPERLINK("D:\python\英语学习\voices\"&amp;B1245&amp;"_2.mp3","AmE")</f>
        <v/>
      </c>
      <c r="I1245" s="18">
        <f>HYPERLINK("http://dict.youdao.com/w/"&amp;B1245,"有道")</f>
        <v/>
      </c>
    </row>
    <row r="1246">
      <c r="B1246" s="1" t="inlineStr">
        <is>
          <t>negligence</t>
        </is>
      </c>
      <c r="C1246" s="7">
        <f>"n. 疏忽；忽视；粗心大意"</f>
        <v/>
      </c>
      <c r="G1246" s="18">
        <f>HYPERLINK("D:\python\英语学习\voices\"&amp;B1246&amp;"_1.mp3","BrE")</f>
        <v/>
      </c>
      <c r="H1246" s="18">
        <f>HYPERLINK("D:\python\英语学习\voices\"&amp;B1246&amp;"_2.mp3","AmE")</f>
        <v/>
      </c>
      <c r="I1246" s="18">
        <f>HYPERLINK("http://dict.youdao.com/w/"&amp;B1246,"有道")</f>
        <v/>
      </c>
    </row>
    <row customHeight="1" ht="28.5" r="1247">
      <c r="B1247" s="1" t="inlineStr">
        <is>
          <t>neural</t>
        </is>
      </c>
      <c r="C1247" s="7">
        <f>"adj. 神经的；神经系统的；背的；神经中枢的"&amp;CHAR(10)&amp;"n. (Neural)人名；(捷)诺伊拉尔"</f>
        <v/>
      </c>
      <c r="G1247" s="18">
        <f>HYPERLINK("D:\python\英语学习\voices\"&amp;B1247&amp;"_1.mp3","BrE")</f>
        <v/>
      </c>
      <c r="H1247" s="18">
        <f>HYPERLINK("D:\python\英语学习\voices\"&amp;B1247&amp;"_2.mp3","AmE")</f>
        <v/>
      </c>
      <c r="I1247" s="18">
        <f>HYPERLINK("http://dict.youdao.com/w/"&amp;B1247,"有道")</f>
        <v/>
      </c>
    </row>
    <row r="1248">
      <c r="B1248" s="1" t="inlineStr">
        <is>
          <t>neuron</t>
        </is>
      </c>
      <c r="C1248" s="7">
        <f>"n. [解剖] 神经元，神经单位"</f>
        <v/>
      </c>
      <c r="G1248" s="18">
        <f>HYPERLINK("D:\python\英语学习\voices\"&amp;B1248&amp;"_1.mp3","BrE")</f>
        <v/>
      </c>
      <c r="H1248" s="18">
        <f>HYPERLINK("D:\python\英语学习\voices\"&amp;B1248&amp;"_2.mp3","AmE")</f>
        <v/>
      </c>
      <c r="I1248" s="18">
        <f>HYPERLINK("http://dict.youdao.com/w/"&amp;B1248,"有道")</f>
        <v/>
      </c>
    </row>
    <row r="1249">
      <c r="B1249" s="1" t="inlineStr">
        <is>
          <t>neutron</t>
        </is>
      </c>
      <c r="C1249" s="7">
        <f>"n. [核] 中子"</f>
        <v/>
      </c>
      <c r="G1249" s="18">
        <f>HYPERLINK("D:\python\英语学习\voices\"&amp;B1249&amp;"_1.mp3","BrE")</f>
        <v/>
      </c>
      <c r="H1249" s="18">
        <f>HYPERLINK("D:\python\英语学习\voices\"&amp;B1249&amp;"_2.mp3","AmE")</f>
        <v/>
      </c>
      <c r="I1249" s="18">
        <f>HYPERLINK("http://dict.youdao.com/w/"&amp;B1249,"有道")</f>
        <v/>
      </c>
    </row>
    <row customHeight="1" ht="28.5" r="1250">
      <c r="B1250" s="1" t="inlineStr">
        <is>
          <t>nevertheless</t>
        </is>
      </c>
      <c r="C1250" s="7">
        <f>"adv. 然而，不过；虽然如此"&amp;CHAR(10)&amp;"conj. 然而，不过"</f>
        <v/>
      </c>
      <c r="G1250" s="18">
        <f>HYPERLINK("D:\python\英语学习\voices\"&amp;B1250&amp;"_1.mp3","BrE")</f>
        <v/>
      </c>
      <c r="H1250" s="18">
        <f>HYPERLINK("D:\python\英语学习\voices\"&amp;B1250&amp;"_2.mp3","AmE")</f>
        <v/>
      </c>
      <c r="I1250" s="18">
        <f>HYPERLINK("http://dict.youdao.com/w/"&amp;B1250,"有道")</f>
        <v/>
      </c>
    </row>
    <row r="1251">
      <c r="A1251" s="1" t="inlineStr">
        <is>
          <t>unnecessary</t>
        </is>
      </c>
      <c r="B1251" s="1" t="inlineStr">
        <is>
          <t>nexus</t>
        </is>
      </c>
      <c r="C1251" s="7">
        <f>"n. 关系；连结，连系"</f>
        <v/>
      </c>
      <c r="G1251" s="18">
        <f>HYPERLINK("D:\python\英语学习\voices\"&amp;B1251&amp;"_1.mp3","BrE")</f>
        <v/>
      </c>
      <c r="H1251" s="18">
        <f>HYPERLINK("D:\python\英语学习\voices\"&amp;B1251&amp;"_2.mp3","AmE")</f>
        <v/>
      </c>
      <c r="I1251" s="18">
        <f>HYPERLINK("http://dict.youdao.com/w/"&amp;B1251,"有道")</f>
        <v/>
      </c>
    </row>
    <row customHeight="1" ht="42.75" r="1252">
      <c r="B1252" s="1" t="inlineStr">
        <is>
          <t>nick</t>
        </is>
      </c>
      <c r="C1252" s="7">
        <f>"vt. 刻痕于；挑毛病；用刻痕记"&amp;CHAR(10)&amp;"n. 刻痕；缺口"&amp;CHAR(10)&amp;"vi. 刻痕；狙击"</f>
        <v/>
      </c>
      <c r="G1252" s="18">
        <f>HYPERLINK("D:\python\英语学习\voices\"&amp;B1252&amp;"_1.mp3","BrE")</f>
        <v/>
      </c>
      <c r="H1252" s="18">
        <f>HYPERLINK("D:\python\英语学习\voices\"&amp;B1252&amp;"_2.mp3","AmE")</f>
        <v/>
      </c>
      <c r="I1252" s="18">
        <f>HYPERLINK("http://dict.youdao.com/w/"&amp;B1252,"有道")</f>
        <v/>
      </c>
    </row>
    <row customHeight="1" ht="28.5" r="1253">
      <c r="B1253" s="1" t="inlineStr">
        <is>
          <t>niece</t>
        </is>
      </c>
      <c r="C1253" s="7">
        <f>"n. 外甥女，侄女"&amp;CHAR(10)&amp;"n. (Niece)人名；(英)尼斯"</f>
        <v/>
      </c>
      <c r="G1253" s="18">
        <f>HYPERLINK("D:\python\英语学习\voices\"&amp;B1253&amp;"_1.mp3","BrE")</f>
        <v/>
      </c>
      <c r="H1253" s="18">
        <f>HYPERLINK("D:\python\英语学习\voices\"&amp;B1253&amp;"_2.mp3","AmE")</f>
        <v/>
      </c>
      <c r="I1253" s="18">
        <f>HYPERLINK("http://dict.youdao.com/w/"&amp;B1253,"有道")</f>
        <v/>
      </c>
    </row>
    <row r="1254">
      <c r="B1254" s="1" t="inlineStr">
        <is>
          <t>nightlife</t>
        </is>
      </c>
      <c r="C1254" s="7">
        <f>"n. 夜生活"</f>
        <v/>
      </c>
      <c r="G1254" s="18">
        <f>HYPERLINK("D:\python\英语学习\voices\"&amp;B1254&amp;"_1.mp3","BrE")</f>
        <v/>
      </c>
      <c r="H1254" s="18">
        <f>HYPERLINK("D:\python\英语学习\voices\"&amp;B1254&amp;"_2.mp3","AmE")</f>
        <v/>
      </c>
      <c r="I1254" s="18">
        <f>HYPERLINK("http://dict.youdao.com/w/"&amp;B1254,"有道")</f>
        <v/>
      </c>
    </row>
    <row r="1255">
      <c r="B1255" s="1" t="inlineStr">
        <is>
          <t>nihilism</t>
        </is>
      </c>
      <c r="C1255" s="7">
        <f>"n. 虚无主义；无政府主义；恐怖行为"</f>
        <v/>
      </c>
      <c r="E1255" s="6" t="inlineStr">
        <is>
          <t>注意发音</t>
        </is>
      </c>
      <c r="G1255" s="18">
        <f>HYPERLINK("D:\python\英语学习\voices\"&amp;B1255&amp;"_1.mp3","BrE")</f>
        <v/>
      </c>
      <c r="H1255" s="18">
        <f>HYPERLINK("D:\python\英语学习\voices\"&amp;B1255&amp;"_2.mp3","AmE")</f>
        <v/>
      </c>
      <c r="I1255" s="18">
        <f>HYPERLINK("http://dict.youdao.com/w/"&amp;B1255,"有道")</f>
        <v/>
      </c>
    </row>
    <row customHeight="1" ht="28.5" r="1256">
      <c r="B1256" s="1" t="inlineStr">
        <is>
          <t>nominal</t>
        </is>
      </c>
      <c r="C1256" s="7">
        <f>"adj. 名义上的；有名无实的；[会计] 票面上的"&amp;CHAR(10)&amp;"n. [语] 名词性词"</f>
        <v/>
      </c>
      <c r="G1256" s="18">
        <f>HYPERLINK("D:\python\英语学习\voices\"&amp;B1256&amp;"_1.mp3","BrE")</f>
        <v/>
      </c>
      <c r="H1256" s="18">
        <f>HYPERLINK("D:\python\英语学习\voices\"&amp;B1256&amp;"_2.mp3","AmE")</f>
        <v/>
      </c>
      <c r="I1256" s="18">
        <f>HYPERLINK("http://dict.youdao.com/w/"&amp;B1256,"有道")</f>
        <v/>
      </c>
    </row>
    <row r="1257">
      <c r="B1257" s="1" t="inlineStr">
        <is>
          <t>normative</t>
        </is>
      </c>
      <c r="C1257" s="7">
        <f>"adj. 规范的，标准的"</f>
        <v/>
      </c>
      <c r="D1257" s="6" t="inlineStr">
        <is>
          <t>norm-标准</t>
        </is>
      </c>
      <c r="G1257" s="18">
        <f>HYPERLINK("D:\python\英语学习\voices\"&amp;B1257&amp;"_1.mp3","BrE")</f>
        <v/>
      </c>
      <c r="H1257" s="18">
        <f>HYPERLINK("D:\python\英语学习\voices\"&amp;B1257&amp;"_2.mp3","AmE")</f>
        <v/>
      </c>
      <c r="I1257" s="18">
        <f>HYPERLINK("http://dict.youdao.com/w/"&amp;B1257,"有道")</f>
        <v/>
      </c>
    </row>
    <row r="1258">
      <c r="B1258" s="1" t="inlineStr">
        <is>
          <t>nostalgia</t>
        </is>
      </c>
      <c r="C1258" s="7">
        <f>"n. 乡愁；怀旧之情；怀乡病"</f>
        <v/>
      </c>
      <c r="G1258" s="18">
        <f>HYPERLINK("D:\python\英语学习\voices\"&amp;B1258&amp;"_1.mp3","BrE")</f>
        <v/>
      </c>
      <c r="H1258" s="18">
        <f>HYPERLINK("D:\python\英语学习\voices\"&amp;B1258&amp;"_2.mp3","AmE")</f>
        <v/>
      </c>
      <c r="I1258" s="18">
        <f>HYPERLINK("http://dict.youdao.com/w/"&amp;B1258,"有道")</f>
        <v/>
      </c>
    </row>
    <row r="1259">
      <c r="B1259" s="1" t="inlineStr">
        <is>
          <t>nostalgic</t>
        </is>
      </c>
      <c r="C1259" s="7">
        <f>"adj. 怀旧的；乡愁的"</f>
        <v/>
      </c>
      <c r="G1259" s="18">
        <f>HYPERLINK("D:\python\英语学习\voices\"&amp;B1259&amp;"_1.mp3","BrE")</f>
        <v/>
      </c>
      <c r="H1259" s="18">
        <f>HYPERLINK("D:\python\英语学习\voices\"&amp;B1259&amp;"_2.mp3","AmE")</f>
        <v/>
      </c>
      <c r="I1259" s="18">
        <f>HYPERLINK("http://dict.youdao.com/w/"&amp;B1259,"有道")</f>
        <v/>
      </c>
    </row>
    <row r="1260">
      <c r="B1260" s="1" t="inlineStr">
        <is>
          <t>notation</t>
        </is>
      </c>
      <c r="C1260" s="7">
        <f>"n. 符号；乐谱；注释；记号法"</f>
        <v/>
      </c>
      <c r="E1260" s="6" t="inlineStr">
        <is>
          <t>big "O" notation时间复杂度</t>
        </is>
      </c>
      <c r="G1260" s="18">
        <f>HYPERLINK("D:\python\英语学习\voices\"&amp;B1260&amp;"_1.mp3","BrE")</f>
        <v/>
      </c>
      <c r="H1260" s="18">
        <f>HYPERLINK("D:\python\英语学习\voices\"&amp;B1260&amp;"_2.mp3","AmE")</f>
        <v/>
      </c>
      <c r="I1260" s="18">
        <f>HYPERLINK("http://dict.youdao.com/w/"&amp;B1260,"有道")</f>
        <v/>
      </c>
    </row>
    <row r="1261">
      <c r="B1261" s="1" t="inlineStr">
        <is>
          <t>noticeable</t>
        </is>
      </c>
      <c r="C1261" s="7">
        <f>"adj. 显而易见的，显著的；值得注意的"</f>
        <v/>
      </c>
      <c r="G1261" s="18">
        <f>HYPERLINK("D:\python\英语学习\voices\"&amp;B1261&amp;"_1.mp3","BrE")</f>
        <v/>
      </c>
      <c r="H1261" s="18">
        <f>HYPERLINK("D:\python\英语学习\voices\"&amp;B1261&amp;"_2.mp3","AmE")</f>
        <v/>
      </c>
      <c r="I1261" s="18">
        <f>HYPERLINK("http://dict.youdao.com/w/"&amp;B1261,"有道")</f>
        <v/>
      </c>
    </row>
    <row r="1262">
      <c r="B1262" s="1" t="inlineStr">
        <is>
          <t>notify</t>
        </is>
      </c>
      <c r="C1262" s="7">
        <f>"vt. 通告，通知；公布"</f>
        <v/>
      </c>
      <c r="G1262" s="18">
        <f>HYPERLINK("D:\python\英语学习\voices\"&amp;B1262&amp;"_1.mp3","BrE")</f>
        <v/>
      </c>
      <c r="H1262" s="18">
        <f>HYPERLINK("D:\python\英语学习\voices\"&amp;B1262&amp;"_2.mp3","AmE")</f>
        <v/>
      </c>
      <c r="I1262" s="18">
        <f>HYPERLINK("http://dict.youdao.com/w/"&amp;B1262,"有道")</f>
        <v/>
      </c>
    </row>
    <row r="1263">
      <c r="B1263" s="1" t="inlineStr">
        <is>
          <t>notion</t>
        </is>
      </c>
      <c r="C1263" s="7">
        <f>"n. 概念；见解；打算"</f>
        <v/>
      </c>
      <c r="G1263" s="18">
        <f>HYPERLINK("D:\python\英语学习\voices\"&amp;B1263&amp;"_1.mp3","BrE")</f>
        <v/>
      </c>
      <c r="H1263" s="18">
        <f>HYPERLINK("D:\python\英语学习\voices\"&amp;B1263&amp;"_2.mp3","AmE")</f>
        <v/>
      </c>
      <c r="I1263" s="18">
        <f>HYPERLINK("http://dict.youdao.com/w/"&amp;B1263,"有道")</f>
        <v/>
      </c>
    </row>
    <row customHeight="1" ht="42.75" r="1264">
      <c r="A1264" t="inlineStr">
        <is>
          <t>practice</t>
        </is>
      </c>
      <c r="B1264" s="1" t="inlineStr">
        <is>
          <t>conform</t>
        </is>
      </c>
      <c r="C1264" s="7">
        <f>"vi. 符合；遵照；适应环境"&amp;CHAR(10)&amp;"vt. 使遵守；使一致；使顺从"&amp;CHAR(10)&amp;"adj. 一致的；顺从的"</f>
        <v/>
      </c>
      <c r="E1264" t="inlineStr">
        <is>
          <t>conform to/with sth遵守
conform to sth 相一致相吻合</t>
        </is>
      </c>
      <c r="G1264" s="18">
        <f>HYPERLINK("D:\python\英语学习\voices\"&amp;B1264&amp;"_1.mp3","BrE")</f>
        <v/>
      </c>
      <c r="H1264" s="18">
        <f>HYPERLINK("D:\python\英语学习\voices\"&amp;B1264&amp;"_2.mp3","AmE")</f>
        <v/>
      </c>
      <c r="I1264" s="18">
        <f>HYPERLINK("http://dict.youdao.com/w/"&amp;B1264,"有道")</f>
        <v/>
      </c>
    </row>
    <row customHeight="1" ht="43.5" r="1265">
      <c r="B1265" s="1" t="inlineStr">
        <is>
          <t>novelty</t>
        </is>
      </c>
      <c r="C1265" s="7">
        <f>"n. 新奇；新奇的事物；新颖小巧而廉价的物品"</f>
        <v/>
      </c>
      <c r="G1265" s="18">
        <f>HYPERLINK("D:\python\英语学习\voices\"&amp;B1265&amp;"_1.mp3","BrE")</f>
        <v/>
      </c>
      <c r="H1265" s="18">
        <f>HYPERLINK("D:\python\英语学习\voices\"&amp;B1265&amp;"_2.mp3","AmE")</f>
        <v/>
      </c>
      <c r="I1265" s="18">
        <f>HYPERLINK("http://dict.youdao.com/w/"&amp;B1265,"有道")</f>
        <v/>
      </c>
    </row>
    <row r="1266">
      <c r="B1266" s="1" t="inlineStr">
        <is>
          <t>nuance</t>
        </is>
      </c>
      <c r="C1266" s="7">
        <f>"n. 细微差别"</f>
        <v/>
      </c>
      <c r="G1266" s="18">
        <f>HYPERLINK("D:\python\英语学习\voices\"&amp;B1266&amp;"_1.mp3","BrE")</f>
        <v/>
      </c>
      <c r="H1266" s="18">
        <f>HYPERLINK("D:\python\英语学习\voices\"&amp;B1266&amp;"_2.mp3","AmE")</f>
        <v/>
      </c>
      <c r="I1266" s="18">
        <f>HYPERLINK("http://dict.youdao.com/w/"&amp;B1266,"有道")</f>
        <v/>
      </c>
    </row>
    <row customHeight="1" ht="42.75" r="1267">
      <c r="B1267" s="1" t="inlineStr">
        <is>
          <t>nudge</t>
        </is>
      </c>
      <c r="C1267" s="7">
        <f>"n. 推动；用肘轻推；没完没了抱怨的人"&amp;CHAR(10)&amp;"vt. 推进；用肘轻推；向…不停地唠叨"&amp;CHAR(10)&amp;"vi. 轻推；推进；唠叨"</f>
        <v/>
      </c>
      <c r="G1267" s="18">
        <f>HYPERLINK("D:\python\英语学习\voices\"&amp;B1267&amp;"_1.mp3","BrE")</f>
        <v/>
      </c>
      <c r="H1267" s="18">
        <f>HYPERLINK("D:\python\英语学习\voices\"&amp;B1267&amp;"_2.mp3","AmE")</f>
        <v/>
      </c>
      <c r="I1267" s="18">
        <f>HYPERLINK("http://dict.youdao.com/w/"&amp;B1267,"有道")</f>
        <v/>
      </c>
    </row>
    <row r="1268">
      <c r="B1268" s="1" t="inlineStr">
        <is>
          <t>nuisance</t>
        </is>
      </c>
      <c r="C1268" s="7">
        <f>"n. 讨厌的人；损害；麻烦事；讨厌的东西"</f>
        <v/>
      </c>
      <c r="G1268" s="18">
        <f>HYPERLINK("D:\python\英语学习\voices\"&amp;B1268&amp;"_1.mp3","BrE")</f>
        <v/>
      </c>
      <c r="H1268" s="18">
        <f>HYPERLINK("D:\python\英语学习\voices\"&amp;B1268&amp;"_2.mp3","AmE")</f>
        <v/>
      </c>
      <c r="I1268" s="18">
        <f>HYPERLINK("http://dict.youdao.com/w/"&amp;B1268,"有道")</f>
        <v/>
      </c>
    </row>
    <row customHeight="1" ht="28.5" r="1269">
      <c r="B1269" s="1" t="inlineStr">
        <is>
          <t>null</t>
        </is>
      </c>
      <c r="C1269" s="7">
        <f>"adj. 无效的，无价值的；等于零的"&amp;CHAR(10)&amp;"n. 零，[数] 空"</f>
        <v/>
      </c>
      <c r="G1269" s="18">
        <f>HYPERLINK("D:\python\英语学习\voices\"&amp;B1269&amp;"_1.mp3","BrE")</f>
        <v/>
      </c>
      <c r="H1269" s="18">
        <f>HYPERLINK("D:\python\英语学习\voices\"&amp;B1269&amp;"_2.mp3","AmE")</f>
        <v/>
      </c>
      <c r="I1269" s="18">
        <f>HYPERLINK("http://dict.youdao.com/w/"&amp;B1269,"有道")</f>
        <v/>
      </c>
    </row>
    <row customHeight="1" ht="28.5" r="1270">
      <c r="B1270" s="1" t="inlineStr">
        <is>
          <t>numb</t>
        </is>
      </c>
      <c r="C1270" s="7">
        <f>"vt. 使麻木；使发愣；使失去感觉"&amp;CHAR(10)&amp;"adj. 麻木的；发愣的"</f>
        <v/>
      </c>
      <c r="G1270" s="18">
        <f>HYPERLINK("D:\python\英语学习\voices\"&amp;B1270&amp;"_1.mp3","BrE")</f>
        <v/>
      </c>
      <c r="H1270" s="18">
        <f>HYPERLINK("D:\python\英语学习\voices\"&amp;B1270&amp;"_2.mp3","AmE")</f>
        <v/>
      </c>
      <c r="I1270" s="18">
        <f>HYPERLINK("http://dict.youdao.com/w/"&amp;B1270,"有道")</f>
        <v/>
      </c>
    </row>
    <row customHeight="1" ht="57" r="1271">
      <c r="B1271" s="1" t="inlineStr">
        <is>
          <t>nut</t>
        </is>
      </c>
      <c r="C1271" s="7">
        <f>"n. 螺母，螺帽；坚果；难对付的人，难解的问题"&amp;CHAR(10)&amp;"vi. 采坚果"&amp;CHAR(10)&amp;"n. (Nut)人名；(阿拉伯)努特；(柬)努"</f>
        <v/>
      </c>
      <c r="G1271" s="18">
        <f>HYPERLINK("D:\python\英语学习\voices\"&amp;B1271&amp;"_1.mp3","BrE")</f>
        <v/>
      </c>
      <c r="H1271" s="18">
        <f>HYPERLINK("D:\python\英语学习\voices\"&amp;B1271&amp;"_2.mp3","AmE")</f>
        <v/>
      </c>
      <c r="I1271" s="18">
        <f>HYPERLINK("http://dict.youdao.com/w/"&amp;B1271,"有道")</f>
        <v/>
      </c>
    </row>
    <row customHeight="1" ht="42.75" r="1272">
      <c r="B1272" s="1" t="inlineStr">
        <is>
          <t>oar</t>
        </is>
      </c>
      <c r="C1272" s="7">
        <f>"n. 桨；橹；桨手"&amp;CHAR(10)&amp;"vt. 划（船）"&amp;CHAR(10)&amp;"vi. 划行"</f>
        <v/>
      </c>
      <c r="G1272" s="18">
        <f>HYPERLINK("D:\python\英语学习\voices\"&amp;B1272&amp;"_1.mp3","BrE")</f>
        <v/>
      </c>
      <c r="H1272" s="18">
        <f>HYPERLINK("D:\python\英语学习\voices\"&amp;B1272&amp;"_2.mp3","AmE")</f>
        <v/>
      </c>
      <c r="I1272" s="18">
        <f>HYPERLINK("http://dict.youdao.com/w/"&amp;B1272,"有道")</f>
        <v/>
      </c>
    </row>
    <row r="1273">
      <c r="B1273" s="1" t="inlineStr">
        <is>
          <t>obligatory</t>
        </is>
      </c>
      <c r="C1273" s="7">
        <f>"adj. 义务的；必须的；义不容辞的"</f>
        <v/>
      </c>
      <c r="G1273" s="18">
        <f>HYPERLINK("D:\python\英语学习\voices\"&amp;B1273&amp;"_1.mp3","BrE")</f>
        <v/>
      </c>
      <c r="H1273" s="18">
        <f>HYPERLINK("D:\python\英语学习\voices\"&amp;B1273&amp;"_2.mp3","AmE")</f>
        <v/>
      </c>
      <c r="I1273" s="18">
        <f>HYPERLINK("http://dict.youdao.com/w/"&amp;B1273,"有道")</f>
        <v/>
      </c>
    </row>
    <row customHeight="1" ht="57" r="1274">
      <c r="A1274" s="1" t="inlineStr">
        <is>
          <t>practice</t>
        </is>
      </c>
      <c r="B1274" s="1" t="inlineStr">
        <is>
          <t>confound</t>
        </is>
      </c>
      <c r="C1274" s="7">
        <f>"vt. 使混淆；挫败；讨厌；使混乱"</f>
        <v/>
      </c>
      <c r="E1274" s="6" t="inlineStr">
        <is>
          <t>'=confuse</t>
        </is>
      </c>
      <c r="G1274" s="18">
        <f>HYPERLINK("D:\python\英语学习\voices\"&amp;B1274&amp;"_1.mp3","BrE")</f>
        <v/>
      </c>
      <c r="H1274" s="18">
        <f>HYPERLINK("D:\python\英语学习\voices\"&amp;B1274&amp;"_2.mp3","AmE")</f>
        <v/>
      </c>
      <c r="I1274" s="18">
        <f>HYPERLINK("http://dict.youdao.com/w/"&amp;B1274,"有道")</f>
        <v/>
      </c>
    </row>
    <row customHeight="1" ht="42.75" r="1275">
      <c r="B1275" s="1" t="inlineStr">
        <is>
          <t>obsolete</t>
        </is>
      </c>
      <c r="C1275" s="7">
        <f>"adj. 废弃的；老式的"&amp;CHAR(10)&amp;"n. 废词；陈腐的人"&amp;CHAR(10)&amp;"vt. 淘汰；废弃"</f>
        <v/>
      </c>
      <c r="G1275" s="18">
        <f>HYPERLINK("D:\python\英语学习\voices\"&amp;B1275&amp;"_1.mp3","BrE")</f>
        <v/>
      </c>
      <c r="H1275" s="18">
        <f>HYPERLINK("D:\python\英语学习\voices\"&amp;B1275&amp;"_2.mp3","AmE")</f>
        <v/>
      </c>
      <c r="I1275" s="18">
        <f>HYPERLINK("http://dict.youdao.com/w/"&amp;B1275,"有道")</f>
        <v/>
      </c>
    </row>
    <row r="1276">
      <c r="B1276" s="1" t="inlineStr">
        <is>
          <t>obstinate</t>
        </is>
      </c>
      <c r="C1276" s="7">
        <f>"adj. 顽固的；倔强的；难以控制的"</f>
        <v/>
      </c>
      <c r="G1276" s="18">
        <f>HYPERLINK("D:\python\英语学习\voices\"&amp;B1276&amp;"_1.mp3","BrE")</f>
        <v/>
      </c>
      <c r="H1276" s="18">
        <f>HYPERLINK("D:\python\英语学习\voices\"&amp;B1276&amp;"_2.mp3","AmE")</f>
        <v/>
      </c>
      <c r="I1276" s="18">
        <f>HYPERLINK("http://dict.youdao.com/w/"&amp;B1276,"有道")</f>
        <v/>
      </c>
    </row>
    <row customHeight="1" ht="28.5" r="1277">
      <c r="B1277" s="1" t="inlineStr">
        <is>
          <t>obstruct</t>
        </is>
      </c>
      <c r="C1277" s="7">
        <f>"vt. 妨碍；阻塞；遮断"&amp;CHAR(10)&amp;"vi. 阻塞；设障碍"</f>
        <v/>
      </c>
      <c r="G1277" s="18">
        <f>HYPERLINK("D:\python\英语学习\voices\"&amp;B1277&amp;"_1.mp3","BrE")</f>
        <v/>
      </c>
      <c r="H1277" s="18">
        <f>HYPERLINK("D:\python\英语学习\voices\"&amp;B1277&amp;"_2.mp3","AmE")</f>
        <v/>
      </c>
      <c r="I1277" s="18">
        <f>HYPERLINK("http://dict.youdao.com/w/"&amp;B1277,"有道")</f>
        <v/>
      </c>
    </row>
    <row r="1278">
      <c r="B1278" s="1" t="inlineStr">
        <is>
          <t>obstruction</t>
        </is>
      </c>
      <c r="C1278" s="7">
        <f>"n. 障碍；阻碍；妨碍"</f>
        <v/>
      </c>
      <c r="G1278" s="18">
        <f>HYPERLINK("D:\python\英语学习\voices\"&amp;B1278&amp;"_1.mp3","BrE")</f>
        <v/>
      </c>
      <c r="H1278" s="18">
        <f>HYPERLINK("D:\python\英语学习\voices\"&amp;B1278&amp;"_2.mp3","AmE")</f>
        <v/>
      </c>
      <c r="I1278" s="18">
        <f>HYPERLINK("http://dict.youdao.com/w/"&amp;B1278,"有道")</f>
        <v/>
      </c>
    </row>
    <row r="1279">
      <c r="B1279" s="1" t="inlineStr">
        <is>
          <t>occupant</t>
        </is>
      </c>
      <c r="C1279" s="7">
        <f>"n. 居住者；占有者"</f>
        <v/>
      </c>
      <c r="G1279" s="18">
        <f>HYPERLINK("D:\python\英语学习\voices\"&amp;B1279&amp;"_1.mp3","BrE")</f>
        <v/>
      </c>
      <c r="H1279" s="18">
        <f>HYPERLINK("D:\python\英语学习\voices\"&amp;B1279&amp;"_2.mp3","AmE")</f>
        <v/>
      </c>
      <c r="I1279" s="18">
        <f>HYPERLINK("http://dict.youdao.com/w/"&amp;B1279,"有道")</f>
        <v/>
      </c>
    </row>
    <row r="1280">
      <c r="B1280" s="1" t="inlineStr">
        <is>
          <t>occurrence</t>
        </is>
      </c>
      <c r="C1280" s="7">
        <f>"n. 发生；出现；事件；发现"</f>
        <v/>
      </c>
      <c r="E1280" s="6" t="inlineStr">
        <is>
          <t>注意拼写</t>
        </is>
      </c>
      <c r="G1280" s="18">
        <f>HYPERLINK("D:\python\英语学习\voices\"&amp;B1280&amp;"_1.mp3","BrE")</f>
        <v/>
      </c>
      <c r="H1280" s="18">
        <f>HYPERLINK("D:\python\英语学习\voices\"&amp;B1280&amp;"_2.mp3","AmE")</f>
        <v/>
      </c>
      <c r="I1280" s="18">
        <f>HYPERLINK("http://dict.youdao.com/w/"&amp;B1280,"有道")</f>
        <v/>
      </c>
    </row>
    <row r="1281">
      <c r="B1281" s="1" t="inlineStr">
        <is>
          <t>offence</t>
        </is>
      </c>
      <c r="C1281" s="7">
        <f>"n. 犯罪；违反；过错；攻击"</f>
        <v/>
      </c>
      <c r="E1281" s="6" t="inlineStr">
        <is>
          <t>冒犯，程度比crime轻</t>
        </is>
      </c>
      <c r="G1281" s="18">
        <f>HYPERLINK("D:\python\英语学习\voices\"&amp;B1281&amp;"_1.mp3","BrE")</f>
        <v/>
      </c>
      <c r="H1281" s="18">
        <f>HYPERLINK("D:\python\英语学习\voices\"&amp;B1281&amp;"_2.mp3","AmE")</f>
        <v/>
      </c>
      <c r="I1281" s="18">
        <f>HYPERLINK("http://dict.youdao.com/w/"&amp;B1281,"有道")</f>
        <v/>
      </c>
    </row>
    <row customHeight="1" ht="28.5" r="1282">
      <c r="B1282" s="1" t="inlineStr">
        <is>
          <t>offensive</t>
        </is>
      </c>
      <c r="C1282" s="7">
        <f>"adj. 攻击的；冒犯的；无礼的；讨厌的"&amp;CHAR(10)&amp;"n. 攻势；攻击"</f>
        <v/>
      </c>
      <c r="G1282" s="18">
        <f>HYPERLINK("D:\python\英语学习\voices\"&amp;B1282&amp;"_1.mp3","BrE")</f>
        <v/>
      </c>
      <c r="H1282" s="18">
        <f>HYPERLINK("D:\python\英语学习\voices\"&amp;B1282&amp;"_2.mp3","AmE")</f>
        <v/>
      </c>
      <c r="I1282" s="18">
        <f>HYPERLINK("http://dict.youdao.com/w/"&amp;B1282,"有道")</f>
        <v/>
      </c>
    </row>
    <row customHeight="1" ht="42.75" r="1283">
      <c r="B1283" s="1" t="inlineStr">
        <is>
          <t>offset</t>
        </is>
      </c>
      <c r="C1283" s="7">
        <f>"n. 抵消，补偿；平版印刷；支管"&amp;CHAR(10)&amp;"vt. 抵消；弥补；用平版印刷术印刷"&amp;CHAR(10)&amp;"vi. 装支管"</f>
        <v/>
      </c>
      <c r="G1283" s="18">
        <f>HYPERLINK("D:\python\英语学习\voices\"&amp;B1283&amp;"_1.mp3","BrE")</f>
        <v/>
      </c>
      <c r="H1283" s="18">
        <f>HYPERLINK("D:\python\英语学习\voices\"&amp;B1283&amp;"_2.mp3","AmE")</f>
        <v/>
      </c>
      <c r="I1283" s="18">
        <f>HYPERLINK("http://dict.youdao.com/w/"&amp;B1283,"有道")</f>
        <v/>
      </c>
    </row>
    <row customHeight="1" ht="28.5" r="1284">
      <c r="B1284" s="1" t="inlineStr">
        <is>
          <t>offshore</t>
        </is>
      </c>
      <c r="C1284" s="7">
        <f>"adj. 离岸的；[海洋] 近海的；吹向海面的"&amp;CHAR(10)&amp;"adv. 向海面，向海"</f>
        <v/>
      </c>
      <c r="G1284" s="18">
        <f>HYPERLINK("D:\python\英语学习\voices\"&amp;B1284&amp;"_1.mp3","BrE")</f>
        <v/>
      </c>
      <c r="H1284" s="18">
        <f>HYPERLINK("D:\python\英语学习\voices\"&amp;B1284&amp;"_2.mp3","AmE")</f>
        <v/>
      </c>
      <c r="I1284" s="18">
        <f>HYPERLINK("http://dict.youdao.com/w/"&amp;B1284,"有道")</f>
        <v/>
      </c>
    </row>
    <row r="1285">
      <c r="B1285" s="1" t="inlineStr">
        <is>
          <t>offspring</t>
        </is>
      </c>
      <c r="C1285" s="7">
        <f>"n. 后代，子孙；产物"</f>
        <v/>
      </c>
      <c r="G1285" s="18">
        <f>HYPERLINK("D:\python\英语学习\voices\"&amp;B1285&amp;"_1.mp3","BrE")</f>
        <v/>
      </c>
      <c r="H1285" s="18">
        <f>HYPERLINK("D:\python\英语学习\voices\"&amp;B1285&amp;"_2.mp3","AmE")</f>
        <v/>
      </c>
      <c r="I1285" s="18">
        <f>HYPERLINK("http://dict.youdao.com/w/"&amp;B1285,"有道")</f>
        <v/>
      </c>
    </row>
    <row customHeight="1" ht="28.5" r="1286">
      <c r="B1286" s="1" t="inlineStr">
        <is>
          <t>ongoing</t>
        </is>
      </c>
      <c r="C1286" s="7">
        <f>"adj. 不间断的，进行的；前进的"&amp;CHAR(10)&amp;"n. 前进；行为，举止"</f>
        <v/>
      </c>
      <c r="G1286" s="18">
        <f>HYPERLINK("D:\python\英语学习\voices\"&amp;B1286&amp;"_1.mp3","BrE")</f>
        <v/>
      </c>
      <c r="H1286" s="18">
        <f>HYPERLINK("D:\python\英语学习\voices\"&amp;B1286&amp;"_2.mp3","AmE")</f>
        <v/>
      </c>
      <c r="I1286" s="18">
        <f>HYPERLINK("http://dict.youdao.com/w/"&amp;B1286,"有道")</f>
        <v/>
      </c>
    </row>
    <row r="1287">
      <c r="B1287" s="1" t="inlineStr">
        <is>
          <t>openly</t>
        </is>
      </c>
      <c r="C1287" s="7">
        <f>"adv. 公开地；公然地；坦率地"</f>
        <v/>
      </c>
      <c r="G1287" s="18">
        <f>HYPERLINK("D:\python\英语学习\voices\"&amp;B1287&amp;"_1.mp3","BrE")</f>
        <v/>
      </c>
      <c r="H1287" s="18">
        <f>HYPERLINK("D:\python\英语学习\voices\"&amp;B1287&amp;"_2.mp3","AmE")</f>
        <v/>
      </c>
      <c r="I1287" s="18">
        <f>HYPERLINK("http://dict.youdao.com/w/"&amp;B1287,"有道")</f>
        <v/>
      </c>
    </row>
    <row customHeight="1" ht="28.5" r="1288">
      <c r="B1288" s="1" t="inlineStr">
        <is>
          <t>operative</t>
        </is>
      </c>
      <c r="C1288" s="7">
        <f>"adj. 有效的；运转着的；从事生产劳动的"&amp;CHAR(10)&amp;"n. 侦探；技工"</f>
        <v/>
      </c>
      <c r="G1288" s="18">
        <f>HYPERLINK("D:\python\英语学习\voices\"&amp;B1288&amp;"_1.mp3","BrE")</f>
        <v/>
      </c>
      <c r="H1288" s="18">
        <f>HYPERLINK("D:\python\英语学习\voices\"&amp;B1288&amp;"_2.mp3","AmE")</f>
        <v/>
      </c>
      <c r="I1288" s="18">
        <f>HYPERLINK("http://dict.youdao.com/w/"&amp;B1288,"有道")</f>
        <v/>
      </c>
    </row>
    <row customHeight="1" ht="28.5" r="1289">
      <c r="B1289" s="1" t="inlineStr">
        <is>
          <t>opium</t>
        </is>
      </c>
      <c r="C1289" s="7">
        <f>"n. 鸦片；麻醉剂"&amp;CHAR(10)&amp;"adj. 鸦片的"</f>
        <v/>
      </c>
      <c r="G1289" s="18">
        <f>HYPERLINK("D:\python\英语学习\voices\"&amp;B1289&amp;"_1.mp3","BrE")</f>
        <v/>
      </c>
      <c r="H1289" s="18">
        <f>HYPERLINK("D:\python\英语学习\voices\"&amp;B1289&amp;"_2.mp3","AmE")</f>
        <v/>
      </c>
      <c r="I1289" s="18">
        <f>HYPERLINK("http://dict.youdao.com/w/"&amp;B1289,"有道")</f>
        <v/>
      </c>
    </row>
    <row customHeight="1" ht="28.5" r="1290">
      <c r="B1290" s="1" t="inlineStr">
        <is>
          <t>oppose</t>
        </is>
      </c>
      <c r="C1290" s="7">
        <f>"vt. 反对；对抗，抗争"&amp;CHAR(10)&amp;"vi. 反对"</f>
        <v/>
      </c>
      <c r="G1290" s="18">
        <f>HYPERLINK("D:\python\英语学习\voices\"&amp;B1290&amp;"_1.mp3","BrE")</f>
        <v/>
      </c>
      <c r="H1290" s="18">
        <f>HYPERLINK("D:\python\英语学习\voices\"&amp;B1290&amp;"_2.mp3","AmE")</f>
        <v/>
      </c>
      <c r="I1290" s="18">
        <f>HYPERLINK("http://dict.youdao.com/w/"&amp;B1290,"有道")</f>
        <v/>
      </c>
    </row>
    <row customHeight="1" ht="29.1" r="1291">
      <c r="B1291" s="1" t="inlineStr">
        <is>
          <t>oppress</t>
        </is>
      </c>
      <c r="C1291" s="7">
        <f>"vt. 压迫，压抑；使……烦恼；使……感到沉重"</f>
        <v/>
      </c>
      <c r="G1291" s="18">
        <f>HYPERLINK("D:\python\英语学习\voices\"&amp;B1291&amp;"_1.mp3","BrE")</f>
        <v/>
      </c>
      <c r="H1291" s="18">
        <f>HYPERLINK("D:\python\英语学习\voices\"&amp;B1291&amp;"_2.mp3","AmE")</f>
        <v/>
      </c>
      <c r="I1291" s="18">
        <f>HYPERLINK("http://dict.youdao.com/w/"&amp;B1291,"有道")</f>
        <v/>
      </c>
    </row>
    <row customHeight="1" ht="42.75" r="1292">
      <c r="B1292" s="1" t="inlineStr">
        <is>
          <t>optic</t>
        </is>
      </c>
      <c r="C1292" s="7">
        <f>"adj. 光学的；视觉的；眼睛的"&amp;CHAR(10)&amp;"n. 眼睛；镜片"&amp;CHAR(10)&amp;"n. (Optic)人名；(英)奥普蒂克"</f>
        <v/>
      </c>
      <c r="G1292" s="18">
        <f>HYPERLINK("D:\python\英语学习\voices\"&amp;B1292&amp;"_1.mp3","BrE")</f>
        <v/>
      </c>
      <c r="H1292" s="18">
        <f>HYPERLINK("D:\python\英语学习\voices\"&amp;B1292&amp;"_2.mp3","AmE")</f>
        <v/>
      </c>
      <c r="I1292" s="18">
        <f>HYPERLINK("http://dict.youdao.com/w/"&amp;B1292,"有道")</f>
        <v/>
      </c>
    </row>
    <row customHeight="1" ht="28.5" r="1293">
      <c r="B1293" s="1" t="inlineStr">
        <is>
          <t>optimize</t>
        </is>
      </c>
      <c r="C1293" s="7">
        <f>"vt. 使最优化，使完善"&amp;CHAR(10)&amp;"vi. 优化；持乐观态度"</f>
        <v/>
      </c>
      <c r="G1293" s="18">
        <f>HYPERLINK("D:\python\英语学习\voices\"&amp;B1293&amp;"_1.mp3","BrE")</f>
        <v/>
      </c>
      <c r="H1293" s="18">
        <f>HYPERLINK("D:\python\英语学习\voices\"&amp;B1293&amp;"_2.mp3","AmE")</f>
        <v/>
      </c>
      <c r="I1293" s="18">
        <f>HYPERLINK("http://dict.youdao.com/w/"&amp;B1293,"有道")</f>
        <v/>
      </c>
    </row>
    <row customHeight="1" ht="28.5" r="1294">
      <c r="B1294" s="1" t="inlineStr">
        <is>
          <t>optimum</t>
        </is>
      </c>
      <c r="C1294" s="7">
        <f>"adj. 最适宜的"&amp;CHAR(10)&amp;"n. 最佳效果；最适宜条件"</f>
        <v/>
      </c>
      <c r="G1294" s="18">
        <f>HYPERLINK("D:\python\英语学习\voices\"&amp;B1294&amp;"_1.mp3","BrE")</f>
        <v/>
      </c>
      <c r="H1294" s="18">
        <f>HYPERLINK("D:\python\英语学习\voices\"&amp;B1294&amp;"_2.mp3","AmE")</f>
        <v/>
      </c>
      <c r="I1294" s="18">
        <f>HYPERLINK("http://dict.youdao.com/w/"&amp;B1294,"有道")</f>
        <v/>
      </c>
    </row>
    <row customHeight="1" ht="28.5" r="1295">
      <c r="B1295" s="1" t="inlineStr">
        <is>
          <t>orchard</t>
        </is>
      </c>
      <c r="C1295" s="7">
        <f>"n. 果园；果树林"&amp;CHAR(10)&amp;"n. (Orchard)人名；(英、西)奥查德"</f>
        <v/>
      </c>
      <c r="G1295" s="18">
        <f>HYPERLINK("D:\python\英语学习\voices\"&amp;B1295&amp;"_1.mp3","BrE")</f>
        <v/>
      </c>
      <c r="H1295" s="18">
        <f>HYPERLINK("D:\python\英语学习\voices\"&amp;B1295&amp;"_2.mp3","AmE")</f>
        <v/>
      </c>
      <c r="I1295" s="18">
        <f>HYPERLINK("http://dict.youdao.com/w/"&amp;B1295,"有道")</f>
        <v/>
      </c>
    </row>
    <row customHeight="1" ht="28.5" r="1296">
      <c r="B1296" s="1" t="inlineStr">
        <is>
          <t>ore</t>
        </is>
      </c>
      <c r="C1296" s="7">
        <f>"n. 矿；矿石"&amp;CHAR(10)&amp;"n. (Ore)人名；(意、瑞典)奥雷；(英)奥尔"</f>
        <v/>
      </c>
      <c r="G1296" s="18">
        <f>HYPERLINK("D:\python\英语学习\voices\"&amp;B1296&amp;"_1.mp3","BrE")</f>
        <v/>
      </c>
      <c r="H1296" s="18">
        <f>HYPERLINK("D:\python\英语学习\voices\"&amp;B1296&amp;"_2.mp3","AmE")</f>
        <v/>
      </c>
      <c r="I1296" s="18">
        <f>HYPERLINK("http://dict.youdao.com/w/"&amp;B1296,"有道")</f>
        <v/>
      </c>
    </row>
    <row customHeight="1" ht="28.5" r="1297">
      <c r="B1297" s="1" t="inlineStr">
        <is>
          <t>oriental</t>
        </is>
      </c>
      <c r="C1297" s="7">
        <f>"adj. 东方的；东方人的"&amp;CHAR(10)&amp;"n. 东方人"</f>
        <v/>
      </c>
      <c r="G1297" s="18">
        <f>HYPERLINK("D:\python\英语学习\voices\"&amp;B1297&amp;"_1.mp3","BrE")</f>
        <v/>
      </c>
      <c r="H1297" s="18">
        <f>HYPERLINK("D:\python\英语学习\voices\"&amp;B1297&amp;"_2.mp3","AmE")</f>
        <v/>
      </c>
      <c r="I1297" s="18">
        <f>HYPERLINK("http://dict.youdao.com/w/"&amp;B1297,"有道")</f>
        <v/>
      </c>
    </row>
    <row customHeight="1" ht="28.5" r="1298">
      <c r="B1298" s="1" t="inlineStr">
        <is>
          <t>ornament</t>
        </is>
      </c>
      <c r="C1298" s="7">
        <f>"n. 装饰；[建][服装] 装饰物；教堂用品"&amp;CHAR(10)&amp;"vt. 装饰，修饰"</f>
        <v/>
      </c>
      <c r="G1298" s="18">
        <f>HYPERLINK("D:\python\英语学习\voices\"&amp;B1298&amp;"_1.mp3","BrE")</f>
        <v/>
      </c>
      <c r="H1298" s="18">
        <f>HYPERLINK("D:\python\英语学习\voices\"&amp;B1298&amp;"_2.mp3","AmE")</f>
        <v/>
      </c>
      <c r="I1298" s="18">
        <f>HYPERLINK("http://dict.youdao.com/w/"&amp;B1298,"有道")</f>
        <v/>
      </c>
    </row>
    <row r="1299">
      <c r="B1299" s="1" t="inlineStr">
        <is>
          <t>outcome</t>
        </is>
      </c>
      <c r="C1299" s="7">
        <f>"n. 结果，结局；成果"</f>
        <v/>
      </c>
      <c r="G1299" s="18">
        <f>HYPERLINK("D:\python\英语学习\voices\"&amp;B1299&amp;"_1.mp3","BrE")</f>
        <v/>
      </c>
      <c r="H1299" s="18">
        <f>HYPERLINK("D:\python\英语学习\voices\"&amp;B1299&amp;"_2.mp3","AmE")</f>
        <v/>
      </c>
      <c r="I1299" s="18">
        <f>HYPERLINK("http://dict.youdao.com/w/"&amp;B1299,"有道")</f>
        <v/>
      </c>
    </row>
    <row r="1300">
      <c r="B1300" s="1" t="inlineStr">
        <is>
          <t>outermost</t>
        </is>
      </c>
      <c r="C1300" s="7">
        <f>"adj. 最外面的；最远的"</f>
        <v/>
      </c>
      <c r="G1300" s="18">
        <f>HYPERLINK("D:\python\英语学习\voices\"&amp;B1300&amp;"_1.mp3","BrE")</f>
        <v/>
      </c>
      <c r="H1300" s="18">
        <f>HYPERLINK("D:\python\英语学习\voices\"&amp;B1300&amp;"_2.mp3","AmE")</f>
        <v/>
      </c>
      <c r="I1300" s="18">
        <f>HYPERLINK("http://dict.youdao.com/w/"&amp;B1300,"有道")</f>
        <v/>
      </c>
    </row>
    <row customHeight="1" ht="57" r="1301">
      <c r="B1301" s="1" t="inlineStr">
        <is>
          <t>outgoing</t>
        </is>
      </c>
      <c r="C1301" s="7">
        <f>"adj. 对人友好的，开朗的；出发的，外出的；即将离职的；乐于助人的"&amp;CHAR(10)&amp;"n. 外出；流出；开支"&amp;CHAR(10)&amp;"v. 超过；优于（outgo的ing形式）"</f>
        <v/>
      </c>
      <c r="G1301" s="18">
        <f>HYPERLINK("D:\python\英语学习\voices\"&amp;B1301&amp;"_1.mp3","BrE")</f>
        <v/>
      </c>
      <c r="H1301" s="18">
        <f>HYPERLINK("D:\python\英语学习\voices\"&amp;B1301&amp;"_2.mp3","AmE")</f>
        <v/>
      </c>
      <c r="I1301" s="18">
        <f>HYPERLINK("http://dict.youdao.com/w/"&amp;B1301,"有道")</f>
        <v/>
      </c>
    </row>
    <row customHeight="1" ht="42.75" r="1302">
      <c r="B1302" s="1" t="inlineStr">
        <is>
          <t>outlook</t>
        </is>
      </c>
      <c r="C1302" s="7">
        <f>"n. 展望；观点；景色"&amp;CHAR(10)&amp;"vt. 比……好看；用目光压倒"&amp;CHAR(10)&amp;"vi. 朝外看"</f>
        <v/>
      </c>
      <c r="G1302" s="18">
        <f>HYPERLINK("D:\python\英语学习\voices\"&amp;B1302&amp;"_1.mp3","BrE")</f>
        <v/>
      </c>
      <c r="H1302" s="18">
        <f>HYPERLINK("D:\python\英语学习\voices\"&amp;B1302&amp;"_2.mp3","AmE")</f>
        <v/>
      </c>
      <c r="I1302" s="18">
        <f>HYPERLINK("http://dict.youdao.com/w/"&amp;B1302,"有道")</f>
        <v/>
      </c>
    </row>
    <row customHeight="1" ht="42.75" r="1303">
      <c r="A1303" s="1" t="inlineStr">
        <is>
          <t>practice</t>
        </is>
      </c>
      <c r="B1303" s="1" t="inlineStr">
        <is>
          <t>confront</t>
        </is>
      </c>
      <c r="C1303" s="7">
        <f>"vt. 面对；遭遇；比较"</f>
        <v/>
      </c>
      <c r="G1303" s="18">
        <f>HYPERLINK("D:\python\英语学习\voices\"&amp;B1303&amp;"_1.mp3","BrE")</f>
        <v/>
      </c>
      <c r="H1303" s="18">
        <f>HYPERLINK("D:\python\英语学习\voices\"&amp;B1303&amp;"_2.mp3","AmE")</f>
        <v/>
      </c>
      <c r="I1303" s="18">
        <f>HYPERLINK("http://dict.youdao.com/w/"&amp;B1303,"有道")</f>
        <v/>
      </c>
    </row>
    <row r="1304">
      <c r="B1304" s="1" t="inlineStr">
        <is>
          <t>outset</t>
        </is>
      </c>
      <c r="C1304" s="7">
        <f>"n. 开始；开端"</f>
        <v/>
      </c>
      <c r="G1304" s="18">
        <f>HYPERLINK("D:\python\英语学习\voices\"&amp;B1304&amp;"_1.mp3","BrE")</f>
        <v/>
      </c>
      <c r="H1304" s="18">
        <f>HYPERLINK("D:\python\英语学习\voices\"&amp;B1304&amp;"_2.mp3","AmE")</f>
        <v/>
      </c>
      <c r="I1304" s="18">
        <f>HYPERLINK("http://dict.youdao.com/w/"&amp;B1304,"有道")</f>
        <v/>
      </c>
    </row>
    <row customHeight="1" ht="28.5" r="1305">
      <c r="B1305" s="1" t="inlineStr">
        <is>
          <t>outsource</t>
        </is>
      </c>
      <c r="C1305" s="7">
        <f>"vt. 把…外包"&amp;CHAR(10)&amp;"vi. 外包"</f>
        <v/>
      </c>
      <c r="G1305" s="18">
        <f>HYPERLINK("D:\python\英语学习\voices\"&amp;B1305&amp;"_1.mp3","BrE")</f>
        <v/>
      </c>
      <c r="H1305" s="18">
        <f>HYPERLINK("D:\python\英语学习\voices\"&amp;B1305&amp;"_2.mp3","AmE")</f>
        <v/>
      </c>
      <c r="I1305" s="18">
        <f>HYPERLINK("http://dict.youdao.com/w/"&amp;B1305,"有道")</f>
        <v/>
      </c>
    </row>
    <row r="1306">
      <c r="A1306" t="inlineStr">
        <is>
          <t>practice</t>
        </is>
      </c>
      <c r="B1306" s="1" t="inlineStr">
        <is>
          <t>outstrip</t>
        </is>
      </c>
      <c r="C1306" s="7">
        <f>"vt. 超过；胜过；比…跑得快"</f>
        <v/>
      </c>
      <c r="G1306" s="18">
        <f>HYPERLINK("D:\python\英语学习\voices\"&amp;B1306&amp;"_1.mp3","BrE")</f>
        <v/>
      </c>
      <c r="H1306" s="18">
        <f>HYPERLINK("D:\python\英语学习\voices\"&amp;B1306&amp;"_2.mp3","AmE")</f>
        <v/>
      </c>
      <c r="I1306" s="18">
        <f>HYPERLINK("http://dict.youdao.com/w/"&amp;B1306,"有道")</f>
        <v/>
      </c>
    </row>
    <row customHeight="1" ht="43.5" r="1307">
      <c r="B1307" s="1" t="inlineStr">
        <is>
          <t>outweigh</t>
        </is>
      </c>
      <c r="C1307" s="7">
        <f>"vt. 比…重（在重量上）；比…重要；比…有价值"</f>
        <v/>
      </c>
      <c r="G1307" s="18">
        <f>HYPERLINK("D:\python\英语学习\voices\"&amp;B1307&amp;"_1.mp3","BrE")</f>
        <v/>
      </c>
      <c r="H1307" s="18">
        <f>HYPERLINK("D:\python\英语学习\voices\"&amp;B1307&amp;"_2.mp3","AmE")</f>
        <v/>
      </c>
      <c r="I1307" s="18">
        <f>HYPERLINK("http://dict.youdao.com/w/"&amp;B1307,"有道")</f>
        <v/>
      </c>
    </row>
    <row r="1308">
      <c r="B1308" s="1" t="inlineStr">
        <is>
          <t>ovary</t>
        </is>
      </c>
      <c r="C1308" s="7">
        <f>"n. [植] 子房；[解剖] 卵巢"</f>
        <v/>
      </c>
      <c r="G1308" s="18">
        <f>HYPERLINK("D:\python\英语学习\voices\"&amp;B1308&amp;"_1.mp3","BrE")</f>
        <v/>
      </c>
      <c r="H1308" s="18">
        <f>HYPERLINK("D:\python\英语学习\voices\"&amp;B1308&amp;"_2.mp3","AmE")</f>
        <v/>
      </c>
      <c r="I1308" s="18">
        <f>HYPERLINK("http://dict.youdao.com/w/"&amp;B1308,"有道")</f>
        <v/>
      </c>
    </row>
    <row customHeight="1" ht="42.75" r="1309">
      <c r="B1309" s="1" t="inlineStr">
        <is>
          <t>overall</t>
        </is>
      </c>
      <c r="C1309" s="7">
        <f>"adj. 全部的；全体的；一切在内的"&amp;CHAR(10)&amp;"adv. 全部地；总的说来"&amp;CHAR(10)&amp;"n. 工装裤；罩衫"</f>
        <v/>
      </c>
      <c r="E1309" s="6" t="inlineStr">
        <is>
          <t>好多意思-n.防护服</t>
        </is>
      </c>
      <c r="G1309" s="18">
        <f>HYPERLINK("D:\python\英语学习\voices\"&amp;B1309&amp;"_1.mp3","BrE")</f>
        <v/>
      </c>
      <c r="H1309" s="18">
        <f>HYPERLINK("D:\python\英语学习\voices\"&amp;B1309&amp;"_2.mp3","AmE")</f>
        <v/>
      </c>
      <c r="I1309" s="18">
        <f>HYPERLINK("http://dict.youdao.com/w/"&amp;B1309,"有道")</f>
        <v/>
      </c>
    </row>
    <row customHeight="1" ht="28.5" r="1310">
      <c r="B1310" s="1" t="inlineStr">
        <is>
          <t>overcrowd</t>
        </is>
      </c>
      <c r="C1310" s="7">
        <f>"vt. 使过度拥挤；把…塞得过满"&amp;CHAR(10)&amp;"vi. 过度拥挤；塞得太满"</f>
        <v/>
      </c>
      <c r="G1310" s="18">
        <f>HYPERLINK("D:\python\英语学习\voices\"&amp;B1310&amp;"_1.mp3","BrE")</f>
        <v/>
      </c>
      <c r="H1310" s="18">
        <f>HYPERLINK("D:\python\英语学习\voices\"&amp;B1310&amp;"_2.mp3","AmE")</f>
        <v/>
      </c>
      <c r="I1310" s="18">
        <f>HYPERLINK("http://dict.youdao.com/w/"&amp;B1310,"有道")</f>
        <v/>
      </c>
    </row>
    <row customHeight="1" ht="42.75" r="1311">
      <c r="B1311" s="1" t="inlineStr">
        <is>
          <t>overflow</t>
        </is>
      </c>
      <c r="C1311" s="7">
        <f>"vi. 溢出；泛滥；充溢"&amp;CHAR(10)&amp;"n. 充满，洋溢；泛滥；超值；溢值"&amp;CHAR(10)&amp;"vt. 使溢出；使泛滥；使充溢"</f>
        <v/>
      </c>
      <c r="G1311" s="18">
        <f>HYPERLINK("D:\python\英语学习\voices\"&amp;B1311&amp;"_1.mp3","BrE")</f>
        <v/>
      </c>
      <c r="H1311" s="18">
        <f>HYPERLINK("D:\python\英语学习\voices\"&amp;B1311&amp;"_2.mp3","AmE")</f>
        <v/>
      </c>
      <c r="I1311" s="18">
        <f>HYPERLINK("http://dict.youdao.com/w/"&amp;B1311,"有道")</f>
        <v/>
      </c>
    </row>
    <row customHeight="1" ht="42.75" r="1312">
      <c r="B1312" s="1" t="inlineStr">
        <is>
          <t>overhang</t>
        </is>
      </c>
      <c r="C1312" s="7">
        <f>"vi. 悬垂；逼近"&amp;CHAR(10)&amp;"vt. 悬于…之上；（危险、邪恶等）逼近"&amp;CHAR(10)&amp;"n. （船首或船尾）突出部分；悬垂部分"</f>
        <v/>
      </c>
      <c r="G1312" s="18">
        <f>HYPERLINK("D:\python\英语学习\voices\"&amp;B1312&amp;"_1.mp3","BrE")</f>
        <v/>
      </c>
      <c r="H1312" s="18">
        <f>HYPERLINK("D:\python\英语学习\voices\"&amp;B1312&amp;"_2.mp3","AmE")</f>
        <v/>
      </c>
      <c r="I1312" s="18">
        <f>HYPERLINK("http://dict.youdao.com/w/"&amp;B1312,"有道")</f>
        <v/>
      </c>
    </row>
    <row customHeight="1" ht="28.5" r="1313">
      <c r="B1313" s="1" t="inlineStr">
        <is>
          <t>overhaul</t>
        </is>
      </c>
      <c r="C1313" s="7">
        <f>"vt. 分解检查，大修；追上并超过"&amp;CHAR(10)&amp;"n. 彻底检修，详细检查"</f>
        <v/>
      </c>
      <c r="D1313" s="16" t="inlineStr">
        <is>
          <t>haul拖</t>
        </is>
      </c>
      <c r="G1313" s="18">
        <f>HYPERLINK("D:\python\英语学习\voices\"&amp;B1313&amp;"_1.mp3","BrE")</f>
        <v/>
      </c>
      <c r="H1313" s="18">
        <f>HYPERLINK("D:\python\英语学习\voices\"&amp;B1313&amp;"_2.mp3","AmE")</f>
        <v/>
      </c>
      <c r="I1313" s="18">
        <f>HYPERLINK("http://dict.youdao.com/w/"&amp;B1313,"有道")</f>
        <v/>
      </c>
    </row>
    <row customHeight="1" ht="28.5" r="1314">
      <c r="B1314" s="1" t="inlineStr">
        <is>
          <t>overhear</t>
        </is>
      </c>
      <c r="C1314" s="7">
        <f>"vt. 无意中听到；偷听"&amp;CHAR(10)&amp;"vi. 无意中听到；偷听到"</f>
        <v/>
      </c>
      <c r="G1314" s="18">
        <f>HYPERLINK("D:\python\英语学习\voices\"&amp;B1314&amp;"_1.mp3","BrE")</f>
        <v/>
      </c>
      <c r="H1314" s="18">
        <f>HYPERLINK("D:\python\英语学习\voices\"&amp;B1314&amp;"_2.mp3","AmE")</f>
        <v/>
      </c>
      <c r="I1314" s="18">
        <f>HYPERLINK("http://dict.youdao.com/w/"&amp;B1314,"有道")</f>
        <v/>
      </c>
    </row>
    <row customHeight="1" ht="42.75" r="1315">
      <c r="B1315" s="1" t="inlineStr">
        <is>
          <t>overlap</t>
        </is>
      </c>
      <c r="C1315" s="7">
        <f>"n. 重叠；重复"&amp;CHAR(10)&amp;"vi. 部分重叠；部分的同时发生"&amp;CHAR(10)&amp;"vt. 与…重叠；与…同时发生"</f>
        <v/>
      </c>
      <c r="G1315" s="18">
        <f>HYPERLINK("D:\python\英语学习\voices\"&amp;B1315&amp;"_1.mp3","BrE")</f>
        <v/>
      </c>
      <c r="H1315" s="18">
        <f>HYPERLINK("D:\python\英语学习\voices\"&amp;B1315&amp;"_2.mp3","AmE")</f>
        <v/>
      </c>
      <c r="I1315" s="18">
        <f>HYPERLINK("http://dict.youdao.com/w/"&amp;B1315,"有道")</f>
        <v/>
      </c>
    </row>
    <row customHeight="1" ht="28.5" r="1316">
      <c r="A1316" t="inlineStr">
        <is>
          <t>practice</t>
        </is>
      </c>
      <c r="B1316" s="1" t="inlineStr">
        <is>
          <t>conjecture</t>
        </is>
      </c>
      <c r="C1316" s="7">
        <f>"n. 推测；猜想"&amp;CHAR(10)&amp;"vi. 推测；揣摩"&amp;CHAR(10)&amp;"vt. 推测"</f>
        <v/>
      </c>
      <c r="E1316" s="6" t="inlineStr">
        <is>
          <t>推测 [正式]</t>
        </is>
      </c>
      <c r="G1316" s="18">
        <f>HYPERLINK("D:\python\英语学习\voices\"&amp;B1316&amp;"_1.mp3","BrE")</f>
        <v/>
      </c>
      <c r="H1316" s="18">
        <f>HYPERLINK("D:\python\英语学习\voices\"&amp;B1316&amp;"_2.mp3","AmE")</f>
        <v/>
      </c>
      <c r="I1316" s="18">
        <f>HYPERLINK("http://dict.youdao.com/w/"&amp;B1316,"有道")</f>
        <v/>
      </c>
    </row>
    <row customHeight="1" ht="28.5" r="1317">
      <c r="B1317" s="1" t="inlineStr">
        <is>
          <t>override</t>
        </is>
      </c>
      <c r="C1317" s="7">
        <f>"vt. 推翻；不顾；践踏"&amp;CHAR(10)&amp;"n. 代理佣金"</f>
        <v/>
      </c>
      <c r="G1317" s="18">
        <f>HYPERLINK("D:\python\英语学习\voices\"&amp;B1317&amp;"_1.mp3","BrE")</f>
        <v/>
      </c>
      <c r="H1317" s="18">
        <f>HYPERLINK("D:\python\英语学习\voices\"&amp;B1317&amp;"_2.mp3","AmE")</f>
        <v/>
      </c>
      <c r="I1317" s="18">
        <f>HYPERLINK("http://dict.youdao.com/w/"&amp;B1317,"有道")</f>
        <v/>
      </c>
    </row>
    <row customHeight="1" ht="29.1" r="1318">
      <c r="B1318" s="1" t="inlineStr">
        <is>
          <t>oversee</t>
        </is>
      </c>
      <c r="C1318" s="7">
        <f>"vt. 监督；审查；俯瞰；偷看到，无意中看到"</f>
        <v/>
      </c>
      <c r="G1318" s="18">
        <f>HYPERLINK("D:\python\英语学习\voices\"&amp;B1318&amp;"_1.mp3","BrE")</f>
        <v/>
      </c>
      <c r="H1318" s="18">
        <f>HYPERLINK("D:\python\英语学习\voices\"&amp;B1318&amp;"_2.mp3","AmE")</f>
        <v/>
      </c>
      <c r="I1318" s="18">
        <f>HYPERLINK("http://dict.youdao.com/w/"&amp;B1318,"有道")</f>
        <v/>
      </c>
    </row>
    <row r="1319">
      <c r="B1319" s="1" t="inlineStr">
        <is>
          <t>oversight</t>
        </is>
      </c>
      <c r="C1319" s="7">
        <f>"n. 监督，照管；疏忽"</f>
        <v/>
      </c>
      <c r="G1319" s="18">
        <f>HYPERLINK("D:\python\英语学习\voices\"&amp;B1319&amp;"_1.mp3","BrE")</f>
        <v/>
      </c>
      <c r="H1319" s="18">
        <f>HYPERLINK("D:\python\英语学习\voices\"&amp;B1319&amp;"_2.mp3","AmE")</f>
        <v/>
      </c>
      <c r="I1319" s="18">
        <f>HYPERLINK("http://dict.youdao.com/w/"&amp;B1319,"有道")</f>
        <v/>
      </c>
    </row>
    <row customHeight="1" ht="42.75" r="1320">
      <c r="A1320" s="1" t="inlineStr">
        <is>
          <t>practice</t>
        </is>
      </c>
      <c r="B1320" s="1" t="inlineStr">
        <is>
          <t>consent</t>
        </is>
      </c>
      <c r="C1320" s="7">
        <f>"vi. 同意；赞成；答应"&amp;CHAR(10)&amp;"n. 同意；（意见等的）一致；赞成"&amp;CHAR(10)&amp;"n. (Consent)人名；(法)孔桑"</f>
        <v/>
      </c>
      <c r="G1320" s="18">
        <f>HYPERLINK("D:\python\英语学习\voices\"&amp;B1320&amp;"_1.mp3","BrE")</f>
        <v/>
      </c>
      <c r="H1320" s="18">
        <f>HYPERLINK("D:\python\英语学习\voices\"&amp;B1320&amp;"_2.mp3","AmE")</f>
        <v/>
      </c>
      <c r="I1320" s="18">
        <f>HYPERLINK("http://dict.youdao.com/w/"&amp;B1320,"有道")</f>
        <v/>
      </c>
    </row>
    <row customHeight="1" ht="28.5" r="1321">
      <c r="B1321" s="1" t="inlineStr">
        <is>
          <t>overtake</t>
        </is>
      </c>
      <c r="C1321" s="7">
        <f>"vt. 赶上；压倒；突然来袭"&amp;CHAR(10)&amp;"vi. 超车"</f>
        <v/>
      </c>
      <c r="G1321" s="18">
        <f>HYPERLINK("D:\python\英语学习\voices\"&amp;B1321&amp;"_1.mp3","BrE")</f>
        <v/>
      </c>
      <c r="H1321" s="18">
        <f>HYPERLINK("D:\python\英语学习\voices\"&amp;B1321&amp;"_2.mp3","AmE")</f>
        <v/>
      </c>
      <c r="I1321" s="18">
        <f>HYPERLINK("http://dict.youdao.com/w/"&amp;B1321,"有道")</f>
        <v/>
      </c>
    </row>
    <row customHeight="1" ht="28.5" r="1322">
      <c r="B1322" s="1" t="inlineStr">
        <is>
          <t>overthrow</t>
        </is>
      </c>
      <c r="C1322" s="7">
        <f>"n. 推翻；倾覆；瓦解"&amp;CHAR(10)&amp;"vt. 推翻；打倒；倾覆"</f>
        <v/>
      </c>
      <c r="G1322" s="18">
        <f>HYPERLINK("D:\python\英语学习\voices\"&amp;B1322&amp;"_1.mp3","BrE")</f>
        <v/>
      </c>
      <c r="H1322" s="18">
        <f>HYPERLINK("D:\python\英语学习\voices\"&amp;B1322&amp;"_2.mp3","AmE")</f>
        <v/>
      </c>
      <c r="I1322" s="18">
        <f>HYPERLINK("http://dict.youdao.com/w/"&amp;B1322,"有道")</f>
        <v/>
      </c>
    </row>
    <row r="1323">
      <c r="B1323" s="1" t="inlineStr">
        <is>
          <t>overwhelm</t>
        </is>
      </c>
      <c r="C1323" s="7">
        <f>"vt. 淹没；压倒；受打击；覆盖；压垮"</f>
        <v/>
      </c>
      <c r="G1323" s="18">
        <f>HYPERLINK("D:\python\英语学习\voices\"&amp;B1323&amp;"_1.mp3","BrE")</f>
        <v/>
      </c>
      <c r="H1323" s="18">
        <f>HYPERLINK("D:\python\英语学习\voices\"&amp;B1323&amp;"_2.mp3","AmE")</f>
        <v/>
      </c>
      <c r="I1323" s="18">
        <f>HYPERLINK("http://dict.youdao.com/w/"&amp;B1323,"有道")</f>
        <v/>
      </c>
    </row>
    <row customHeight="1" ht="42.75" r="1324">
      <c r="A1324" t="inlineStr">
        <is>
          <t>important</t>
        </is>
      </c>
      <c r="B1324" s="1" t="inlineStr">
        <is>
          <t>overwhelming</t>
        </is>
      </c>
      <c r="C1324" s="7">
        <f>"adj. 压倒性的；势不可挡的"&amp;CHAR(10)&amp;"v. 压倒，淹没，制服（overwhelm 的现在分词）"</f>
        <v/>
      </c>
      <c r="G1324" s="18">
        <f>HYPERLINK("D:\python\英语学习\voices\"&amp;B1324&amp;"_1.mp3","BrE")</f>
        <v/>
      </c>
      <c r="H1324" s="18">
        <f>HYPERLINK("D:\python\英语学习\voices\"&amp;B1324&amp;"_2.mp3","AmE")</f>
        <v/>
      </c>
      <c r="I1324" s="18">
        <f>HYPERLINK("http://dict.youdao.com/w/"&amp;B1324,"有道")</f>
        <v/>
      </c>
    </row>
    <row customHeight="1" ht="28.5" r="1325">
      <c r="B1325" s="1" t="inlineStr">
        <is>
          <t>oxidize</t>
        </is>
      </c>
      <c r="C1325" s="7">
        <f>"vt. 使氧化；使生锈"&amp;CHAR(10)&amp;"vi. 氧化"</f>
        <v/>
      </c>
      <c r="G1325" s="18">
        <f>HYPERLINK("D:\python\英语学习\voices\"&amp;B1325&amp;"_1.mp3","BrE")</f>
        <v/>
      </c>
      <c r="H1325" s="18">
        <f>HYPERLINK("D:\python\英语学习\voices\"&amp;B1325&amp;"_2.mp3","AmE")</f>
        <v/>
      </c>
      <c r="I1325" s="18">
        <f>HYPERLINK("http://dict.youdao.com/w/"&amp;B1325,"有道")</f>
        <v/>
      </c>
    </row>
    <row customHeight="1" ht="42.75" r="1326">
      <c r="B1326" s="1" t="inlineStr">
        <is>
          <t>pacific</t>
        </is>
      </c>
      <c r="C1326" s="7">
        <f>"adj. 和平的；温和的；平静的"&amp;CHAR(10)&amp;"n. 太平洋"&amp;CHAR(10)&amp;"adj. 太平洋的"</f>
        <v/>
      </c>
      <c r="E1326" s="6" t="inlineStr">
        <is>
          <t>好多意思</t>
        </is>
      </c>
      <c r="G1326" s="18">
        <f>HYPERLINK("D:\python\英语学习\voices\"&amp;B1326&amp;"_1.mp3","BrE")</f>
        <v/>
      </c>
      <c r="H1326" s="18">
        <f>HYPERLINK("D:\python\英语学习\voices\"&amp;B1326&amp;"_2.mp3","AmE")</f>
        <v/>
      </c>
      <c r="I1326" s="18">
        <f>HYPERLINK("http://dict.youdao.com/w/"&amp;B1326,"有道")</f>
        <v/>
      </c>
    </row>
    <row r="1327">
      <c r="B1327" s="1" t="inlineStr">
        <is>
          <t>pact</t>
        </is>
      </c>
      <c r="C1327" s="7">
        <f>"n. 协定；公约；条约；契约"</f>
        <v/>
      </c>
      <c r="G1327" s="18">
        <f>HYPERLINK("D:\python\英语学习\voices\"&amp;B1327&amp;"_1.mp3","BrE")</f>
        <v/>
      </c>
      <c r="H1327" s="18">
        <f>HYPERLINK("D:\python\英语学习\voices\"&amp;B1327&amp;"_2.mp3","AmE")</f>
        <v/>
      </c>
      <c r="I1327" s="18">
        <f>HYPERLINK("http://dict.youdao.com/w/"&amp;B1327,"有道")</f>
        <v/>
      </c>
    </row>
    <row customHeight="1" ht="42.75" r="1328">
      <c r="B1328" s="1" t="inlineStr">
        <is>
          <t>paddle</t>
        </is>
      </c>
      <c r="C1328" s="7">
        <f>"n. 划桨；明轮翼"&amp;CHAR(10)&amp;"vt. 拌；搅；用桨划"&amp;CHAR(10)&amp;"vi. 划桨；戏水；涉水"</f>
        <v/>
      </c>
      <c r="G1328" s="18">
        <f>HYPERLINK("D:\python\英语学习\voices\"&amp;B1328&amp;"_1.mp3","BrE")</f>
        <v/>
      </c>
      <c r="H1328" s="18">
        <f>HYPERLINK("D:\python\英语学习\voices\"&amp;B1328&amp;"_2.mp3","AmE")</f>
        <v/>
      </c>
      <c r="I1328" s="18">
        <f>HYPERLINK("http://dict.youdao.com/w/"&amp;B1328,"有道")</f>
        <v/>
      </c>
    </row>
    <row r="1329">
      <c r="B1329" s="1" t="inlineStr">
        <is>
          <t>pail</t>
        </is>
      </c>
      <c r="C1329" s="7">
        <f>"n. 桶，提桶"</f>
        <v/>
      </c>
      <c r="G1329" s="18">
        <f>HYPERLINK("D:\python\英语学习\voices\"&amp;B1329&amp;"_1.mp3","BrE")</f>
        <v/>
      </c>
      <c r="H1329" s="18">
        <f>HYPERLINK("D:\python\英语学习\voices\"&amp;B1329&amp;"_2.mp3","AmE")</f>
        <v/>
      </c>
      <c r="I1329" s="18">
        <f>HYPERLINK("http://dict.youdao.com/w/"&amp;B1329,"有道")</f>
        <v/>
      </c>
    </row>
    <row r="1330">
      <c r="B1330" s="1" t="inlineStr">
        <is>
          <t>pamphlet</t>
        </is>
      </c>
      <c r="C1330" s="7">
        <f>"n. 小册子"</f>
        <v/>
      </c>
      <c r="G1330" s="18">
        <f>HYPERLINK("D:\python\英语学习\voices\"&amp;B1330&amp;"_1.mp3","BrE")</f>
        <v/>
      </c>
      <c r="H1330" s="18">
        <f>HYPERLINK("D:\python\英语学习\voices\"&amp;B1330&amp;"_2.mp3","AmE")</f>
        <v/>
      </c>
      <c r="I1330" s="18">
        <f>HYPERLINK("http://dict.youdao.com/w/"&amp;B1330,"有道")</f>
        <v/>
      </c>
    </row>
    <row customHeight="1" ht="57" r="1331">
      <c r="B1331" s="1" t="inlineStr">
        <is>
          <t>pan</t>
        </is>
      </c>
      <c r="C1331" s="7">
        <f>"n. 平底锅；盘状的器皿；淘盘子，金盘，秤盘"&amp;CHAR(10)&amp;"vt. 淘金；在浅锅中烹调（食物）；[非正式用语]严厉的批评"&amp;CHAR(10)&amp;"vi. 淘金；在淘洗中收获金子"</f>
        <v/>
      </c>
      <c r="E1331" s="6" t="inlineStr">
        <is>
          <t>flashing in the pan 昙花一现</t>
        </is>
      </c>
      <c r="G1331" s="18">
        <f>HYPERLINK("D:\python\英语学习\voices\"&amp;B1331&amp;"_1.mp3","BrE")</f>
        <v/>
      </c>
      <c r="H1331" s="18">
        <f>HYPERLINK("D:\python\英语学习\voices\"&amp;B1331&amp;"_2.mp3","AmE")</f>
        <v/>
      </c>
      <c r="I1331" s="18">
        <f>HYPERLINK("http://dict.youdao.com/w/"&amp;B1331,"有道")</f>
        <v/>
      </c>
    </row>
    <row r="1332">
      <c r="B1332" s="1" t="inlineStr">
        <is>
          <t>panorama</t>
        </is>
      </c>
      <c r="C1332" s="7">
        <f>"n. 全景，全貌；全景画；概论"</f>
        <v/>
      </c>
      <c r="G1332" s="18">
        <f>HYPERLINK("D:\python\英语学习\voices\"&amp;B1332&amp;"_1.mp3","BrE")</f>
        <v/>
      </c>
      <c r="H1332" s="18">
        <f>HYPERLINK("D:\python\英语学习\voices\"&amp;B1332&amp;"_2.mp3","AmE")</f>
        <v/>
      </c>
      <c r="I1332" s="18">
        <f>HYPERLINK("http://dict.youdao.com/w/"&amp;B1332,"有道")</f>
        <v/>
      </c>
    </row>
    <row customHeight="1" ht="57" r="1333">
      <c r="B1333" s="1" t="inlineStr">
        <is>
          <t>pant</t>
        </is>
      </c>
      <c r="C1333" s="7">
        <f>"vi. 喘息；渴望；气喘吁吁地说出某事"&amp;CHAR(10)&amp;"vt. 气喘"&amp;CHAR(10)&amp;"n. 气喘；喘息；喷气声"&amp;CHAR(10)&amp;"n. (Pant)人名；(印、尼、捷、英)潘特"</f>
        <v/>
      </c>
      <c r="G1333" s="18">
        <f>HYPERLINK("D:\python\英语学习\voices\"&amp;B1333&amp;"_1.mp3","BrE")</f>
        <v/>
      </c>
      <c r="H1333" s="18">
        <f>HYPERLINK("D:\python\英语学习\voices\"&amp;B1333&amp;"_2.mp3","AmE")</f>
        <v/>
      </c>
      <c r="I1333" s="18">
        <f>HYPERLINK("http://dict.youdao.com/w/"&amp;B1333,"有道")</f>
        <v/>
      </c>
    </row>
    <row customHeight="1" ht="42.75" r="1334">
      <c r="B1334" s="1" t="inlineStr">
        <is>
          <t>paperback</t>
        </is>
      </c>
      <c r="C1334" s="7">
        <f>"n. 平装本；廉价本"&amp;CHAR(10)&amp;"vt. 以平装本出版"&amp;CHAR(10)&amp;"adj. 纸面装订的；纸面平装本书籍的"</f>
        <v/>
      </c>
      <c r="G1334" s="18">
        <f>HYPERLINK("D:\python\英语学习\voices\"&amp;B1334&amp;"_1.mp3","BrE")</f>
        <v/>
      </c>
      <c r="H1334" s="18">
        <f>HYPERLINK("D:\python\英语学习\voices\"&amp;B1334&amp;"_2.mp3","AmE")</f>
        <v/>
      </c>
      <c r="I1334" s="18">
        <f>HYPERLINK("http://dict.youdao.com/w/"&amp;B1334,"有道")</f>
        <v/>
      </c>
    </row>
    <row customHeight="1" ht="42.75" r="1335">
      <c r="B1335" s="1" t="inlineStr">
        <is>
          <t>parachute</t>
        </is>
      </c>
      <c r="C1335" s="7">
        <f>"n. 降落伞"&amp;CHAR(10)&amp;"vi. 跳伞"&amp;CHAR(10)&amp;"空投"</f>
        <v/>
      </c>
      <c r="G1335" s="18">
        <f>HYPERLINK("D:\python\英语学习\voices\"&amp;B1335&amp;"_1.mp3","BrE")</f>
        <v/>
      </c>
      <c r="H1335" s="18">
        <f>HYPERLINK("D:\python\英语学习\voices\"&amp;B1335&amp;"_2.mp3","AmE")</f>
        <v/>
      </c>
      <c r="I1335" s="18">
        <f>HYPERLINK("http://dict.youdao.com/w/"&amp;B1335,"有道")</f>
        <v/>
      </c>
    </row>
    <row customHeight="1" ht="28.5" r="1336">
      <c r="A1336" t="inlineStr">
        <is>
          <t>practice</t>
        </is>
      </c>
      <c r="B1336" s="1" t="inlineStr">
        <is>
          <t>conspicuous</t>
        </is>
      </c>
      <c r="C1336" s="7">
        <f>"adj. 显著的；显而易见的"</f>
        <v/>
      </c>
      <c r="G1336" s="18">
        <f>HYPERLINK("D:\python\英语学习\voices\"&amp;B1336&amp;"_1.mp3","BrE")</f>
        <v/>
      </c>
      <c r="H1336" s="18">
        <f>HYPERLINK("D:\python\英语学习\voices\"&amp;B1336&amp;"_2.mp3","AmE")</f>
        <v/>
      </c>
      <c r="I1336" s="18">
        <f>HYPERLINK("http://dict.youdao.com/w/"&amp;B1336,"有道")</f>
        <v/>
      </c>
    </row>
    <row r="1337">
      <c r="B1337" s="1" t="inlineStr">
        <is>
          <t>parasite</t>
        </is>
      </c>
      <c r="C1337" s="7">
        <f>"n. 寄生虫；食客"</f>
        <v/>
      </c>
      <c r="G1337" s="18">
        <f>HYPERLINK("D:\python\英语学习\voices\"&amp;B1337&amp;"_1.mp3","BrE")</f>
        <v/>
      </c>
      <c r="H1337" s="18">
        <f>HYPERLINK("D:\python\英语学习\voices\"&amp;B1337&amp;"_2.mp3","AmE")</f>
        <v/>
      </c>
      <c r="I1337" s="18">
        <f>HYPERLINK("http://dict.youdao.com/w/"&amp;B1337,"有道")</f>
        <v/>
      </c>
    </row>
    <row customHeight="1" ht="42.75" r="1338">
      <c r="B1338" s="1" t="inlineStr">
        <is>
          <t>parenthesis</t>
        </is>
      </c>
      <c r="C1338" s="7">
        <f>"n. 插入语,插入成分"&amp;CHAR(10)&amp;"n. 圆括号"&amp;CHAR(10)&amp;"n. 间歇，插曲"</f>
        <v/>
      </c>
      <c r="G1338" s="18">
        <f>HYPERLINK("D:\python\英语学习\voices\"&amp;B1338&amp;"_1.mp3","BrE")</f>
        <v/>
      </c>
      <c r="H1338" s="18">
        <f>HYPERLINK("D:\python\英语学习\voices\"&amp;B1338&amp;"_2.mp3","AmE")</f>
        <v/>
      </c>
      <c r="I1338" s="18">
        <f>HYPERLINK("http://dict.youdao.com/w/"&amp;B1338,"有道")</f>
        <v/>
      </c>
    </row>
    <row customHeight="1" ht="28.5" r="1339">
      <c r="B1339" s="1" t="inlineStr">
        <is>
          <t>partition</t>
        </is>
      </c>
      <c r="C1339" s="7">
        <f>"n. 划分，分开；[数] 分割；隔墙；隔离物"&amp;CHAR(10)&amp;"vt. [数] 分割；分隔；区分"</f>
        <v/>
      </c>
      <c r="G1339" s="18">
        <f>HYPERLINK("D:\python\英语学习\voices\"&amp;B1339&amp;"_1.mp3","BrE")</f>
        <v/>
      </c>
      <c r="H1339" s="18">
        <f>HYPERLINK("D:\python\英语学习\voices\"&amp;B1339&amp;"_2.mp3","AmE")</f>
        <v/>
      </c>
      <c r="I1339" s="18">
        <f>HYPERLINK("http://dict.youdao.com/w/"&amp;B1339,"有道")</f>
        <v/>
      </c>
    </row>
    <row r="1340">
      <c r="B1340" s="1" t="inlineStr">
        <is>
          <t>partly</t>
        </is>
      </c>
      <c r="C1340" s="7">
        <f>"adv. 部分地；在一定程度上"</f>
        <v/>
      </c>
      <c r="G1340" s="18">
        <f>HYPERLINK("D:\python\英语学习\voices\"&amp;B1340&amp;"_1.mp3","BrE")</f>
        <v/>
      </c>
      <c r="H1340" s="18">
        <f>HYPERLINK("D:\python\英语学习\voices\"&amp;B1340&amp;"_2.mp3","AmE")</f>
        <v/>
      </c>
      <c r="I1340" s="18">
        <f>HYPERLINK("http://dict.youdao.com/w/"&amp;B1340,"有道")</f>
        <v/>
      </c>
    </row>
    <row r="1341">
      <c r="B1341" s="1" t="inlineStr">
        <is>
          <t>pastime</t>
        </is>
      </c>
      <c r="C1341" s="7">
        <f>"n. 娱乐，消遣"</f>
        <v/>
      </c>
      <c r="G1341" s="18">
        <f>HYPERLINK("D:\python\英语学习\voices\"&amp;B1341&amp;"_1.mp3","BrE")</f>
        <v/>
      </c>
      <c r="H1341" s="18">
        <f>HYPERLINK("D:\python\英语学习\voices\"&amp;B1341&amp;"_2.mp3","AmE")</f>
        <v/>
      </c>
      <c r="I1341" s="18">
        <f>HYPERLINK("http://dict.youdao.com/w/"&amp;B1341,"有道")</f>
        <v/>
      </c>
    </row>
    <row customHeight="1" ht="42.75" r="1342">
      <c r="B1342" s="1" t="inlineStr">
        <is>
          <t>pasture</t>
        </is>
      </c>
      <c r="C1342" s="7">
        <f>"n. 草地；牧场；牧草"&amp;CHAR(10)&amp;"vt. 放牧；吃草"&amp;CHAR(10)&amp;"n. (Pasture)人名；(英)帕斯彻；(法)帕斯蒂尔"</f>
        <v/>
      </c>
      <c r="G1342" s="18">
        <f>HYPERLINK("D:\python\英语学习\voices\"&amp;B1342&amp;"_1.mp3","BrE")</f>
        <v/>
      </c>
      <c r="H1342" s="18">
        <f>HYPERLINK("D:\python\英语学习\voices\"&amp;B1342&amp;"_2.mp3","AmE")</f>
        <v/>
      </c>
      <c r="I1342" s="18">
        <f>HYPERLINK("http://dict.youdao.com/w/"&amp;B1342,"有道")</f>
        <v/>
      </c>
    </row>
    <row customHeight="1" ht="42.75" r="1343">
      <c r="B1343" s="1" t="inlineStr">
        <is>
          <t>patent</t>
        </is>
      </c>
      <c r="C1343" s="7">
        <f>"vt. 授予专利；取得…的专利权"&amp;CHAR(10)&amp;"adj. 专利的；新奇的；显然的"&amp;CHAR(10)&amp;"n. 专利权；执照；专利品"</f>
        <v/>
      </c>
      <c r="G1343" s="18">
        <f>HYPERLINK("D:\python\英语学习\voices\"&amp;B1343&amp;"_1.mp3","BrE")</f>
        <v/>
      </c>
      <c r="H1343" s="18">
        <f>HYPERLINK("D:\python\英语学习\voices\"&amp;B1343&amp;"_2.mp3","AmE")</f>
        <v/>
      </c>
      <c r="I1343" s="18">
        <f>HYPERLINK("http://dict.youdao.com/w/"&amp;B1343,"有道")</f>
        <v/>
      </c>
    </row>
    <row r="1344">
      <c r="B1344" s="1" t="inlineStr">
        <is>
          <t>pathology</t>
        </is>
      </c>
      <c r="C1344" s="7">
        <f>"n. 病理（学）；〈比喻〉异常状态"</f>
        <v/>
      </c>
      <c r="G1344" s="18">
        <f>HYPERLINK("D:\python\英语学习\voices\"&amp;B1344&amp;"_1.mp3","BrE")</f>
        <v/>
      </c>
      <c r="H1344" s="18">
        <f>HYPERLINK("D:\python\英语学习\voices\"&amp;B1344&amp;"_2.mp3","AmE")</f>
        <v/>
      </c>
      <c r="I1344" s="18">
        <f>HYPERLINK("http://dict.youdao.com/w/"&amp;B1344,"有道")</f>
        <v/>
      </c>
    </row>
    <row customHeight="1" ht="42.75" r="1345">
      <c r="B1345" s="1" t="inlineStr">
        <is>
          <t>patrol</t>
        </is>
      </c>
      <c r="C1345" s="7">
        <f>"n. 巡逻；巡逻队；侦察队"&amp;CHAR(10)&amp;"vt. 巡逻；巡查"&amp;CHAR(10)&amp;"vi. 巡逻；巡查"</f>
        <v/>
      </c>
      <c r="G1345" s="18">
        <f>HYPERLINK("D:\python\英语学习\voices\"&amp;B1345&amp;"_1.mp3","BrE")</f>
        <v/>
      </c>
      <c r="H1345" s="18">
        <f>HYPERLINK("D:\python\英语学习\voices\"&amp;B1345&amp;"_2.mp3","AmE")</f>
        <v/>
      </c>
      <c r="I1345" s="18">
        <f>HYPERLINK("http://dict.youdao.com/w/"&amp;B1345,"有道")</f>
        <v/>
      </c>
    </row>
    <row customHeight="1" ht="42.75" r="1346">
      <c r="B1346" s="1" t="inlineStr">
        <is>
          <t>patron</t>
        </is>
      </c>
      <c r="C1346" s="7">
        <f>"n. 赞助人；保护人；主顾"&amp;CHAR(10)&amp;"n. (Patron)人名；(英)佩特伦；(法、意、罗)帕特龙"</f>
        <v/>
      </c>
      <c r="G1346" s="18">
        <f>HYPERLINK("D:\python\英语学习\voices\"&amp;B1346&amp;"_1.mp3","BrE")</f>
        <v/>
      </c>
      <c r="H1346" s="18">
        <f>HYPERLINK("D:\python\英语学习\voices\"&amp;B1346&amp;"_2.mp3","AmE")</f>
        <v/>
      </c>
      <c r="I1346" s="18">
        <f>HYPERLINK("http://dict.youdao.com/w/"&amp;B1346,"有道")</f>
        <v/>
      </c>
    </row>
    <row r="1347">
      <c r="B1347" s="1" t="inlineStr">
        <is>
          <t>patronage</t>
        </is>
      </c>
      <c r="C1347" s="7">
        <f>"n. 赞助；光顾；任免权"</f>
        <v/>
      </c>
      <c r="G1347" s="18">
        <f>HYPERLINK("D:\python\英语学习\voices\"&amp;B1347&amp;"_1.mp3","BrE")</f>
        <v/>
      </c>
      <c r="H1347" s="18">
        <f>HYPERLINK("D:\python\英语学习\voices\"&amp;B1347&amp;"_2.mp3","AmE")</f>
        <v/>
      </c>
      <c r="I1347" s="18">
        <f>HYPERLINK("http://dict.youdao.com/w/"&amp;B1347,"有道")</f>
        <v/>
      </c>
    </row>
    <row customHeight="1" ht="28.5" r="1348">
      <c r="B1348" s="1" t="inlineStr">
        <is>
          <t>pave</t>
        </is>
      </c>
      <c r="C1348" s="7">
        <f>"vt. 铺设；安排；作铺设之用"&amp;CHAR(10)&amp;"n. (Pave)人名；(西、塞)帕韦"</f>
        <v/>
      </c>
      <c r="D1348" s="6" t="inlineStr">
        <is>
          <t>pavement人行道</t>
        </is>
      </c>
      <c r="G1348" s="18">
        <f>HYPERLINK("D:\python\英语学习\voices\"&amp;B1348&amp;"_1.mp3","BrE")</f>
        <v/>
      </c>
      <c r="H1348" s="18">
        <f>HYPERLINK("D:\python\英语学习\voices\"&amp;B1348&amp;"_2.mp3","AmE")</f>
        <v/>
      </c>
      <c r="I1348" s="18">
        <f>HYPERLINK("http://dict.youdao.com/w/"&amp;B1348,"有道")</f>
        <v/>
      </c>
    </row>
    <row r="1349">
      <c r="B1349" s="1" t="inlineStr">
        <is>
          <t>peasant</t>
        </is>
      </c>
      <c r="C1349" s="7">
        <f>"n. 农民；乡下人"</f>
        <v/>
      </c>
      <c r="E1349" s="6" t="inlineStr">
        <is>
          <t>注意发音</t>
        </is>
      </c>
      <c r="G1349" s="18">
        <f>HYPERLINK("D:\python\英语学习\voices\"&amp;B1349&amp;"_1.mp3","BrE")</f>
        <v/>
      </c>
      <c r="H1349" s="18">
        <f>HYPERLINK("D:\python\英语学习\voices\"&amp;B1349&amp;"_2.mp3","AmE")</f>
        <v/>
      </c>
      <c r="I1349" s="18">
        <f>HYPERLINK("http://dict.youdao.com/w/"&amp;B1349,"有道")</f>
        <v/>
      </c>
    </row>
    <row customHeight="1" ht="28.5" r="1350">
      <c r="B1350" s="1" t="inlineStr">
        <is>
          <t>pebble</t>
        </is>
      </c>
      <c r="C1350" s="7">
        <f>"n. 卵石；水晶透镜"&amp;CHAR(10)&amp;"vt. 用卵石铺"</f>
        <v/>
      </c>
      <c r="F1350" s="7">
        <f>"Memory is a child walking along a seashore. You can never tell what small pebble it will pick up and store away among its treasured things."</f>
        <v/>
      </c>
      <c r="G1350" s="18">
        <f>HYPERLINK("D:\python\英语学习\voices\"&amp;B1350&amp;"_1.mp3","BrE")</f>
        <v/>
      </c>
      <c r="H1350" s="18">
        <f>HYPERLINK("D:\python\英语学习\voices\"&amp;B1350&amp;"_2.mp3","AmE")</f>
        <v/>
      </c>
      <c r="I1350" s="18">
        <f>HYPERLINK("http://dict.youdao.com/w/"&amp;B1350,"有道")</f>
        <v/>
      </c>
    </row>
    <row customHeight="1" ht="57" r="1351">
      <c r="B1351" s="1" t="inlineStr">
        <is>
          <t>peck</t>
        </is>
      </c>
      <c r="C1351" s="7">
        <f>"vi. 啄食；扔石头；吹毛求疵"&amp;CHAR(10)&amp;"vt. 啄食；扔"&amp;CHAR(10)&amp;"n. 许多；配克（容量单位，等于2加仑）；啄痕；快速轻吻"</f>
        <v/>
      </c>
      <c r="G1351" s="18">
        <f>HYPERLINK("D:\python\英语学习\voices\"&amp;B1351&amp;"_1.mp3","BrE")</f>
        <v/>
      </c>
      <c r="H1351" s="18">
        <f>HYPERLINK("D:\python\英语学习\voices\"&amp;B1351&amp;"_2.mp3","AmE")</f>
        <v/>
      </c>
      <c r="I1351" s="18">
        <f>HYPERLINK("http://dict.youdao.com/w/"&amp;B1351,"有道")</f>
        <v/>
      </c>
    </row>
    <row r="1352">
      <c r="B1352" s="1" t="inlineStr">
        <is>
          <t>pedagogical</t>
        </is>
      </c>
      <c r="C1352" s="7">
        <f>"adj. 教育学的；教学法的"</f>
        <v/>
      </c>
      <c r="G1352" s="18">
        <f>HYPERLINK("D:\python\英语学习\voices\"&amp;B1352&amp;"_1.mp3","BrE")</f>
        <v/>
      </c>
      <c r="H1352" s="18">
        <f>HYPERLINK("D:\python\英语学习\voices\"&amp;B1352&amp;"_2.mp3","AmE")</f>
        <v/>
      </c>
      <c r="I1352" s="18">
        <f>HYPERLINK("http://dict.youdao.com/w/"&amp;B1352,"有道")</f>
        <v/>
      </c>
    </row>
    <row r="1353">
      <c r="B1353" s="1" t="inlineStr">
        <is>
          <t>pedlar</t>
        </is>
      </c>
      <c r="C1353" s="7">
        <f>"n. [贸易] 小贩；传播者（等于peddler）"</f>
        <v/>
      </c>
      <c r="G1353" s="18">
        <f>HYPERLINK("D:\python\英语学习\voices\"&amp;B1353&amp;"_1.mp3","BrE")</f>
        <v/>
      </c>
      <c r="H1353" s="18">
        <f>HYPERLINK("D:\python\英语学习\voices\"&amp;B1353&amp;"_2.mp3","AmE")</f>
        <v/>
      </c>
      <c r="I1353" s="18">
        <f>HYPERLINK("http://dict.youdao.com/w/"&amp;B1353,"有道")</f>
        <v/>
      </c>
    </row>
    <row customHeight="1" ht="42.75" r="1354">
      <c r="B1354" s="1" t="inlineStr">
        <is>
          <t>peel</t>
        </is>
      </c>
      <c r="C1354" s="7">
        <f>"v. 剥，剥落；削"&amp;CHAR(10)&amp;"n. 皮"&amp;CHAR(10)&amp;"n. (Peel)人名；(英)皮尔"</f>
        <v/>
      </c>
      <c r="G1354" s="18">
        <f>HYPERLINK("D:\python\英语学习\voices\"&amp;B1354&amp;"_1.mp3","BrE")</f>
        <v/>
      </c>
      <c r="H1354" s="18">
        <f>HYPERLINK("D:\python\英语学习\voices\"&amp;B1354&amp;"_2.mp3","AmE")</f>
        <v/>
      </c>
      <c r="I1354" s="18">
        <f>HYPERLINK("http://dict.youdao.com/w/"&amp;B1354,"有道")</f>
        <v/>
      </c>
    </row>
    <row customHeight="1" ht="57" r="1355">
      <c r="B1355" s="1" t="inlineStr">
        <is>
          <t>peep</t>
        </is>
      </c>
      <c r="C1355" s="7">
        <f>"n. 偷看；隐约看见，瞥见"&amp;CHAR(10)&amp;"vi. 窥视；慢慢露出，出现；吱吱叫"&amp;CHAR(10)&amp;"vt. 使出现"&amp;CHAR(10)&amp;"n. (Peep)人名；(爱沙)佩普"</f>
        <v/>
      </c>
      <c r="G1355" s="18">
        <f>HYPERLINK("D:\python\英语学习\voices\"&amp;B1355&amp;"_1.mp3","BrE")</f>
        <v/>
      </c>
      <c r="H1355" s="18">
        <f>HYPERLINK("D:\python\英语学习\voices\"&amp;B1355&amp;"_2.mp3","AmE")</f>
        <v/>
      </c>
      <c r="I1355" s="18">
        <f>HYPERLINK("http://dict.youdao.com/w/"&amp;B1355,"有道")</f>
        <v/>
      </c>
    </row>
    <row customHeight="1" ht="57" r="1356">
      <c r="B1356" s="1" t="inlineStr">
        <is>
          <t>peer</t>
        </is>
      </c>
      <c r="C1356" s="7">
        <f>"n. 贵族；同等的人；同龄人"&amp;CHAR(10)&amp;"vi. 凝视，盯着看；窥视"&amp;CHAR(10)&amp;"vt. 封为贵族；与…同等"&amp;CHAR(10)&amp;"n. (Peer)人名；(英、巴基)皮尔"</f>
        <v/>
      </c>
      <c r="G1356" s="18">
        <f>HYPERLINK("D:\python\英语学习\voices\"&amp;B1356&amp;"_1.mp3","BrE")</f>
        <v/>
      </c>
      <c r="H1356" s="18">
        <f>HYPERLINK("D:\python\英语学习\voices\"&amp;B1356&amp;"_2.mp3","AmE")</f>
        <v/>
      </c>
      <c r="I1356" s="18">
        <f>HYPERLINK("http://dict.youdao.com/w/"&amp;B1356,"有道")</f>
        <v/>
      </c>
    </row>
    <row customHeight="1" ht="28.5" r="1357">
      <c r="A1357" s="1" t="inlineStr">
        <is>
          <t>practice</t>
        </is>
      </c>
      <c r="B1357" s="1" t="inlineStr">
        <is>
          <t>contend</t>
        </is>
      </c>
      <c r="C1357" s="7">
        <f>"vi. 竞争；奋斗；斗争；争论"&amp;CHAR(10)&amp;"vt. 主张；为...斗争"</f>
        <v/>
      </c>
      <c r="G1357" s="18">
        <f>HYPERLINK("D:\python\英语学习\voices\"&amp;B1357&amp;"_1.mp3","BrE")</f>
        <v/>
      </c>
      <c r="H1357" s="18">
        <f>HYPERLINK("D:\python\英语学习\voices\"&amp;B1357&amp;"_2.mp3","AmE")</f>
        <v/>
      </c>
      <c r="I1357" s="18">
        <f>HYPERLINK("http://dict.youdao.com/w/"&amp;B1357,"有道")</f>
        <v/>
      </c>
    </row>
    <row customHeight="1" ht="85.5" r="1358">
      <c r="B1358" s="1" t="inlineStr">
        <is>
          <t>peg</t>
        </is>
      </c>
      <c r="C1358" s="7">
        <f>"n. 钉；桩；借口；琴栓"&amp;CHAR(10)&amp;"vt. 限制；钉木钉"&amp;CHAR(10)&amp;"vi. 疾行；孜孜不倦地做某事"&amp;CHAR(10)&amp;"adj. 越往下端越细的"&amp;CHAR(10)&amp;"n. (Peg)人名；(英)佩格(女子教名 Margaret 的昵称)；(西)佩格"</f>
        <v/>
      </c>
      <c r="G1358" s="18">
        <f>HYPERLINK("D:\python\英语学习\voices\"&amp;B1358&amp;"_1.mp3","BrE")</f>
        <v/>
      </c>
      <c r="H1358" s="18">
        <f>HYPERLINK("D:\python\英语学习\voices\"&amp;B1358&amp;"_2.mp3","AmE")</f>
        <v/>
      </c>
      <c r="I1358" s="18">
        <f>HYPERLINK("http://dict.youdao.com/w/"&amp;B1358,"有道")</f>
        <v/>
      </c>
    </row>
    <row customHeight="1" ht="57" r="1359">
      <c r="A1359" s="1" t="inlineStr">
        <is>
          <t>unnecessary</t>
        </is>
      </c>
      <c r="B1359" s="1" t="inlineStr">
        <is>
          <t>pellet</t>
        </is>
      </c>
      <c r="C1359" s="7">
        <f>"n. 小球；[军] 小子弹（枪用）"&amp;CHAR(10)&amp;"vt. 将…制成丸状；用子弹打；用小球扔"&amp;CHAR(10)&amp;"n. (Pellet)人名；(西)佩列特；(法)佩莱；(德)佩勒特"</f>
        <v/>
      </c>
      <c r="G1359" s="18">
        <f>HYPERLINK("D:\python\英语学习\voices\"&amp;B1359&amp;"_1.mp3","BrE")</f>
        <v/>
      </c>
      <c r="H1359" s="18">
        <f>HYPERLINK("D:\python\英语学习\voices\"&amp;B1359&amp;"_2.mp3","AmE")</f>
        <v/>
      </c>
      <c r="I1359" s="18">
        <f>HYPERLINK("http://dict.youdao.com/w/"&amp;B1359,"有道")</f>
        <v/>
      </c>
    </row>
    <row r="1360">
      <c r="B1360" s="1" t="inlineStr">
        <is>
          <t>penalty</t>
        </is>
      </c>
      <c r="C1360" s="7">
        <f>"n. 罚款，罚金；处罚"</f>
        <v/>
      </c>
      <c r="G1360" s="18">
        <f>HYPERLINK("D:\python\英语学习\voices\"&amp;B1360&amp;"_1.mp3","BrE")</f>
        <v/>
      </c>
      <c r="H1360" s="18">
        <f>HYPERLINK("D:\python\英语学习\voices\"&amp;B1360&amp;"_2.mp3","AmE")</f>
        <v/>
      </c>
      <c r="I1360" s="18">
        <f>HYPERLINK("http://dict.youdao.com/w/"&amp;B1360,"有道")</f>
        <v/>
      </c>
    </row>
    <row r="1361">
      <c r="B1361" s="1" t="inlineStr">
        <is>
          <t>pendulum</t>
        </is>
      </c>
      <c r="C1361" s="7">
        <f>"n. 钟摆；摇锤；摇摆不定的事态"</f>
        <v/>
      </c>
      <c r="G1361" s="18">
        <f>HYPERLINK("D:\python\英语学习\voices\"&amp;B1361&amp;"_1.mp3","BrE")</f>
        <v/>
      </c>
      <c r="H1361" s="18">
        <f>HYPERLINK("D:\python\英语学习\voices\"&amp;B1361&amp;"_2.mp3","AmE")</f>
        <v/>
      </c>
      <c r="I1361" s="18">
        <f>HYPERLINK("http://dict.youdao.com/w/"&amp;B1361,"有道")</f>
        <v/>
      </c>
    </row>
    <row r="1362">
      <c r="B1362" s="1" t="inlineStr">
        <is>
          <t>penetration</t>
        </is>
      </c>
      <c r="C1362" s="7">
        <f>"n. 渗透；突破；侵入；洞察力"</f>
        <v/>
      </c>
      <c r="G1362" s="18">
        <f>HYPERLINK("D:\python\英语学习\voices\"&amp;B1362&amp;"_1.mp3","BrE")</f>
        <v/>
      </c>
      <c r="H1362" s="18">
        <f>HYPERLINK("D:\python\英语学习\voices\"&amp;B1362&amp;"_2.mp3","AmE")</f>
        <v/>
      </c>
      <c r="I1362" s="18">
        <f>HYPERLINK("http://dict.youdao.com/w/"&amp;B1362,"有道")</f>
        <v/>
      </c>
    </row>
    <row r="1363">
      <c r="B1363" s="1" t="inlineStr">
        <is>
          <t>penguin</t>
        </is>
      </c>
      <c r="C1363" s="7">
        <f>"n. 企鹅；空军地勤人员"</f>
        <v/>
      </c>
      <c r="G1363" s="18">
        <f>HYPERLINK("D:\python\英语学习\voices\"&amp;B1363&amp;"_1.mp3","BrE")</f>
        <v/>
      </c>
      <c r="H1363" s="18">
        <f>HYPERLINK("D:\python\英语学习\voices\"&amp;B1363&amp;"_2.mp3","AmE")</f>
        <v/>
      </c>
      <c r="I1363" s="18">
        <f>HYPERLINK("http://dict.youdao.com/w/"&amp;B1363,"有道")</f>
        <v/>
      </c>
    </row>
    <row r="1364">
      <c r="A1364" s="1" t="inlineStr">
        <is>
          <t>unnecessary</t>
        </is>
      </c>
      <c r="B1364" s="1" t="inlineStr">
        <is>
          <t>peninsula</t>
        </is>
      </c>
      <c r="C1364" s="7">
        <f>"n. 半岛"</f>
        <v/>
      </c>
      <c r="E1364" s="6" t="inlineStr">
        <is>
          <t>注意拼写-nin</t>
        </is>
      </c>
      <c r="G1364" s="18">
        <f>HYPERLINK("D:\python\英语学习\voices\"&amp;B1364&amp;"_1.mp3","BrE")</f>
        <v/>
      </c>
      <c r="H1364" s="18">
        <f>HYPERLINK("D:\python\英语学习\voices\"&amp;B1364&amp;"_2.mp3","AmE")</f>
        <v/>
      </c>
      <c r="I1364" s="18">
        <f>HYPERLINK("http://dict.youdao.com/w/"&amp;B1364,"有道")</f>
        <v/>
      </c>
    </row>
    <row r="1365">
      <c r="A1365" s="1" t="inlineStr">
        <is>
          <t>unnecessary</t>
        </is>
      </c>
      <c r="B1365" s="1" t="inlineStr">
        <is>
          <t>peptide</t>
        </is>
      </c>
      <c r="C1365" s="7">
        <f>"n. 肽"</f>
        <v/>
      </c>
      <c r="G1365" s="18">
        <f>HYPERLINK("D:\python\英语学习\voices\"&amp;B1365&amp;"_1.mp3","BrE")</f>
        <v/>
      </c>
      <c r="H1365" s="18">
        <f>HYPERLINK("D:\python\英语学习\voices\"&amp;B1365&amp;"_2.mp3","AmE")</f>
        <v/>
      </c>
      <c r="I1365" s="18">
        <f>HYPERLINK("http://dict.youdao.com/w/"&amp;B1365,"有道")</f>
        <v/>
      </c>
    </row>
    <row customHeight="1" ht="29.1" r="1366">
      <c r="B1366" s="1" t="inlineStr">
        <is>
          <t>perception</t>
        </is>
      </c>
      <c r="C1366" s="7">
        <f>"n. 知觉；[生理] 感觉；看法；洞察力；获取"</f>
        <v/>
      </c>
      <c r="G1366" s="18">
        <f>HYPERLINK("D:\python\英语学习\voices\"&amp;B1366&amp;"_1.mp3","BrE")</f>
        <v/>
      </c>
      <c r="H1366" s="18">
        <f>HYPERLINK("D:\python\英语学习\voices\"&amp;B1366&amp;"_2.mp3","AmE")</f>
        <v/>
      </c>
      <c r="I1366" s="18">
        <f>HYPERLINK("http://dict.youdao.com/w/"&amp;B1366,"有道")</f>
        <v/>
      </c>
    </row>
    <row r="1367">
      <c r="B1367" s="1" t="inlineStr">
        <is>
          <t>perceptual</t>
        </is>
      </c>
      <c r="C1367" s="7">
        <f>"adj. 知觉的；感知的；有知觉的"</f>
        <v/>
      </c>
      <c r="G1367" s="18">
        <f>HYPERLINK("D:\python\英语学习\voices\"&amp;B1367&amp;"_1.mp3","BrE")</f>
        <v/>
      </c>
      <c r="H1367" s="18">
        <f>HYPERLINK("D:\python\英语学习\voices\"&amp;B1367&amp;"_2.mp3","AmE")</f>
        <v/>
      </c>
      <c r="I1367" s="18">
        <f>HYPERLINK("http://dict.youdao.com/w/"&amp;B1367,"有道")</f>
        <v/>
      </c>
    </row>
    <row customHeight="1" ht="57" r="1368">
      <c r="B1368" s="1" t="inlineStr">
        <is>
          <t>perch</t>
        </is>
      </c>
      <c r="C1368" s="7">
        <f>"n. 鲈鱼; 高位；栖木；杆"&amp;CHAR(10)&amp;"vt. 栖息；就位；位于；使坐落于"&amp;CHAR(10)&amp;"vi. 栖息；就位；位于"&amp;CHAR(10)&amp;"n. (Perch)人名；(俄)佩尔奇；(丹)佩克"</f>
        <v/>
      </c>
      <c r="G1368" s="18">
        <f>HYPERLINK("D:\python\英语学习\voices\"&amp;B1368&amp;"_1.mp3","BrE")</f>
        <v/>
      </c>
      <c r="H1368" s="18">
        <f>HYPERLINK("D:\python\英语学习\voices\"&amp;B1368&amp;"_2.mp3","AmE")</f>
        <v/>
      </c>
      <c r="I1368" s="18">
        <f>HYPERLINK("http://dict.youdao.com/w/"&amp;B1368,"有道")</f>
        <v/>
      </c>
    </row>
    <row customHeight="1" ht="28.5" r="1369">
      <c r="A1369" t="inlineStr">
        <is>
          <t>practice</t>
        </is>
      </c>
      <c r="B1369" s="1" t="inlineStr">
        <is>
          <t>contrive</t>
        </is>
      </c>
      <c r="C1369" s="7">
        <f>"vt. 设计；发明；图谋"&amp;CHAR(10)&amp;"vi. 谋划；设法做到"</f>
        <v/>
      </c>
      <c r="E1369" t="inlineStr">
        <is>
          <t>contrive to do = manage to do 设法做</t>
        </is>
      </c>
      <c r="G1369" s="18">
        <f>HYPERLINK("D:\python\英语学习\voices\"&amp;B1369&amp;"_1.mp3","BrE")</f>
        <v/>
      </c>
      <c r="H1369" s="18">
        <f>HYPERLINK("D:\python\英语学习\voices\"&amp;B1369&amp;"_2.mp3","AmE")</f>
        <v/>
      </c>
      <c r="I1369" s="18">
        <f>HYPERLINK("http://dict.youdao.com/w/"&amp;B1369,"有道")</f>
        <v/>
      </c>
    </row>
    <row customHeight="1" ht="42.75" r="1370">
      <c r="A1370" s="1" t="inlineStr">
        <is>
          <t>practice</t>
        </is>
      </c>
      <c r="B1370" s="1" t="inlineStr">
        <is>
          <t>cue</t>
        </is>
      </c>
      <c r="C1370" s="7">
        <f>"n. 提示，暗示；线索"&amp;CHAR(10)&amp;"vt. 给…暗示"&amp;CHAR(10)&amp;"n. (Cue)人名；(西)库埃"</f>
        <v/>
      </c>
      <c r="G1370" s="18">
        <f>HYPERLINK("D:\python\英语学习\voices\"&amp;B1370&amp;"_1.mp3","BrE")</f>
        <v/>
      </c>
      <c r="H1370" s="18">
        <f>HYPERLINK("D:\python\英语学习\voices\"&amp;B1370&amp;"_2.mp3","AmE")</f>
        <v/>
      </c>
      <c r="I1370" s="18">
        <f>HYPERLINK("http://dict.youdao.com/w/"&amp;B1370,"有道")</f>
        <v/>
      </c>
    </row>
    <row customHeight="1" ht="28.5" r="1371">
      <c r="A1371" s="1" t="inlineStr">
        <is>
          <t>practice</t>
        </is>
      </c>
      <c r="B1371" s="1" t="inlineStr">
        <is>
          <t>culminate</t>
        </is>
      </c>
      <c r="C1371" s="7">
        <f>"vi. 到绝顶；达到高潮；达到顶点"&amp;CHAR(10)&amp;"vt. 使结束；使达到高潮"</f>
        <v/>
      </c>
      <c r="D1371" t="inlineStr">
        <is>
          <t>-minate结束</t>
        </is>
      </c>
      <c r="E1371" t="inlineStr">
        <is>
          <t>culminate in/with （以某种结果）告终；结束</t>
        </is>
      </c>
      <c r="G1371" s="18">
        <f>HYPERLINK("D:\python\英语学习\voices\"&amp;B1371&amp;"_1.mp3","BrE")</f>
        <v/>
      </c>
      <c r="H1371" s="18">
        <f>HYPERLINK("D:\python\英语学习\voices\"&amp;B1371&amp;"_2.mp3","AmE")</f>
        <v/>
      </c>
      <c r="I1371" s="18">
        <f>HYPERLINK("http://dict.youdao.com/w/"&amp;B1371,"有道")</f>
        <v/>
      </c>
    </row>
    <row customHeight="1" ht="28.5" r="1372">
      <c r="B1372" s="1" t="inlineStr">
        <is>
          <t>periodical</t>
        </is>
      </c>
      <c r="C1372" s="7">
        <f>"adj. [数] 周期的；定期的"&amp;CHAR(10)&amp;"n. 期刊；杂志"</f>
        <v/>
      </c>
      <c r="G1372" s="18">
        <f>HYPERLINK("D:\python\英语学习\voices\"&amp;B1372&amp;"_1.mp3","BrE")</f>
        <v/>
      </c>
      <c r="H1372" s="18">
        <f>HYPERLINK("D:\python\英语学习\voices\"&amp;B1372&amp;"_2.mp3","AmE")</f>
        <v/>
      </c>
      <c r="I1372" s="18">
        <f>HYPERLINK("http://dict.youdao.com/w/"&amp;B1372,"有道")</f>
        <v/>
      </c>
    </row>
    <row customHeight="1" ht="28.5" r="1373">
      <c r="A1373" t="inlineStr">
        <is>
          <t>practice</t>
        </is>
      </c>
      <c r="B1373" s="1" t="inlineStr">
        <is>
          <t>decidedly</t>
        </is>
      </c>
      <c r="C1373" s="7">
        <f>"adv. 果断地；断然地；明显；毫无疑问"</f>
        <v/>
      </c>
      <c r="D1373" s="16" t="inlineStr">
        <is>
          <t>decided明确的，显然的，坚决的，果断的</t>
        </is>
      </c>
      <c r="G1373" s="18">
        <f>HYPERLINK("D:\python\英语学习\voices\"&amp;B1373&amp;"_1.mp3","BrE")</f>
        <v/>
      </c>
      <c r="H1373" s="18">
        <f>HYPERLINK("D:\python\英语学习\voices\"&amp;B1373&amp;"_2.mp3","AmE")</f>
        <v/>
      </c>
      <c r="I1373" s="18">
        <f>HYPERLINK("http://dict.youdao.com/w/"&amp;B1373,"有道")</f>
        <v/>
      </c>
    </row>
    <row customHeight="1" ht="28.5" r="1374">
      <c r="B1374" s="1" t="inlineStr">
        <is>
          <t>perish</t>
        </is>
      </c>
      <c r="C1374" s="7">
        <f>"vt. 使麻木；毁坏"&amp;CHAR(10)&amp;"vi. 死亡；毁灭；腐烂；枯萎"</f>
        <v/>
      </c>
      <c r="G1374" s="18">
        <f>HYPERLINK("D:\python\英语学习\voices\"&amp;B1374&amp;"_1.mp3","BrE")</f>
        <v/>
      </c>
      <c r="H1374" s="18">
        <f>HYPERLINK("D:\python\英语学习\voices\"&amp;B1374&amp;"_2.mp3","AmE")</f>
        <v/>
      </c>
      <c r="I1374" s="18">
        <f>HYPERLINK("http://dict.youdao.com/w/"&amp;B1374,"有道")</f>
        <v/>
      </c>
    </row>
    <row customHeight="1" ht="28.5" r="1375">
      <c r="B1375" s="1" t="inlineStr">
        <is>
          <t>permeate</t>
        </is>
      </c>
      <c r="C1375" s="7">
        <f>"vt. 渗透，透过；弥漫"&amp;CHAR(10)&amp;"vi. 弥漫；透入；散布"</f>
        <v/>
      </c>
      <c r="G1375" s="18">
        <f>HYPERLINK("D:\python\英语学习\voices\"&amp;B1375&amp;"_1.mp3","BrE")</f>
        <v/>
      </c>
      <c r="H1375" s="18">
        <f>HYPERLINK("D:\python\英语学习\voices\"&amp;B1375&amp;"_2.mp3","AmE")</f>
        <v/>
      </c>
      <c r="I1375" s="18">
        <f>HYPERLINK("http://dict.youdao.com/w/"&amp;B1375,"有道")</f>
        <v/>
      </c>
    </row>
    <row customHeight="1" ht="28.5" r="1376">
      <c r="B1376" s="1" t="inlineStr">
        <is>
          <t>perpendicular</t>
        </is>
      </c>
      <c r="C1376" s="7">
        <f>"adj. 垂直的，正交的；直立的；陡峭的"&amp;CHAR(10)&amp;"n. 垂线；垂直的位置"</f>
        <v/>
      </c>
      <c r="G1376" s="18">
        <f>HYPERLINK("D:\python\英语学习\voices\"&amp;B1376&amp;"_1.mp3","BrE")</f>
        <v/>
      </c>
      <c r="H1376" s="18">
        <f>HYPERLINK("D:\python\英语学习\voices\"&amp;B1376&amp;"_2.mp3","AmE")</f>
        <v/>
      </c>
      <c r="I1376" s="18">
        <f>HYPERLINK("http://dict.youdao.com/w/"&amp;B1376,"有道")</f>
        <v/>
      </c>
    </row>
    <row customHeight="1" ht="28.5" r="1377">
      <c r="B1377" s="1" t="inlineStr">
        <is>
          <t>perpetuate</t>
        </is>
      </c>
      <c r="C1377" s="7">
        <f>"vt. 使不朽；保持"&amp;CHAR(10)&amp;"adj. 长存的"</f>
        <v/>
      </c>
      <c r="G1377" s="18">
        <f>HYPERLINK("D:\python\英语学习\voices\"&amp;B1377&amp;"_1.mp3","BrE")</f>
        <v/>
      </c>
      <c r="H1377" s="18">
        <f>HYPERLINK("D:\python\英语学习\voices\"&amp;B1377&amp;"_2.mp3","AmE")</f>
        <v/>
      </c>
      <c r="I1377" s="18">
        <f>HYPERLINK("http://dict.youdao.com/w/"&amp;B1377,"有道")</f>
        <v/>
      </c>
    </row>
    <row customHeight="1" ht="42.75" r="1378">
      <c r="A1378" s="1" t="inlineStr">
        <is>
          <t>practice</t>
        </is>
      </c>
      <c r="B1378" s="1" t="inlineStr">
        <is>
          <t>defer</t>
        </is>
      </c>
      <c r="C1378" s="7">
        <f>"vi. 推迟；延期；服从"&amp;CHAR(10)&amp;"vt. 使推迟；使延期"&amp;CHAR(10)&amp;"n. (Defer)人名；(法)德费"</f>
        <v/>
      </c>
      <c r="G1378" s="18">
        <f>HYPERLINK("D:\python\英语学习\voices\"&amp;B1378&amp;"_1.mp3","BrE")</f>
        <v/>
      </c>
      <c r="H1378" s="18">
        <f>HYPERLINK("D:\python\英语学习\voices\"&amp;B1378&amp;"_2.mp3","AmE")</f>
        <v/>
      </c>
      <c r="I1378" s="18">
        <f>HYPERLINK("http://dict.youdao.com/w/"&amp;B1378,"有道")</f>
        <v/>
      </c>
    </row>
    <row customHeight="1" ht="29.1" r="1379">
      <c r="B1379" s="1" t="inlineStr">
        <is>
          <t>persevere</t>
        </is>
      </c>
      <c r="C1379" s="7">
        <f>"vi. 坚持；不屈不挠；固执己见（在辩论中）"</f>
        <v/>
      </c>
      <c r="G1379" s="18">
        <f>HYPERLINK("D:\python\英语学习\voices\"&amp;B1379&amp;"_1.mp3","BrE")</f>
        <v/>
      </c>
      <c r="H1379" s="18">
        <f>HYPERLINK("D:\python\英语学习\voices\"&amp;B1379&amp;"_2.mp3","AmE")</f>
        <v/>
      </c>
      <c r="I1379" s="18">
        <f>HYPERLINK("http://dict.youdao.com/w/"&amp;B1379,"有道")</f>
        <v/>
      </c>
    </row>
    <row r="1380">
      <c r="A1380" s="1" t="inlineStr">
        <is>
          <t>practice</t>
        </is>
      </c>
      <c r="B1380" s="1" t="inlineStr">
        <is>
          <t>deficient</t>
        </is>
      </c>
      <c r="C1380" s="7">
        <f>"adj. 不足的；有缺陷的；不充分的"</f>
        <v/>
      </c>
      <c r="G1380" s="18">
        <f>HYPERLINK("D:\python\英语学习\voices\"&amp;B1380&amp;"_1.mp3","BrE")</f>
        <v/>
      </c>
      <c r="H1380" s="18">
        <f>HYPERLINK("D:\python\英语学习\voices\"&amp;B1380&amp;"_2.mp3","AmE")</f>
        <v/>
      </c>
      <c r="I1380" s="18">
        <f>HYPERLINK("http://dict.youdao.com/w/"&amp;B1380,"有道")</f>
        <v/>
      </c>
    </row>
    <row r="1381">
      <c r="A1381" t="inlineStr">
        <is>
          <t>practice</t>
        </is>
      </c>
      <c r="B1381" s="1" t="inlineStr">
        <is>
          <t>demolish</t>
        </is>
      </c>
      <c r="C1381" s="7">
        <f>"vt. 拆除；破坏；毁坏；推翻；驳倒"</f>
        <v/>
      </c>
      <c r="G1381" s="18">
        <f>HYPERLINK("D:\python\英语学习\voices\"&amp;B1381&amp;"_1.mp3","BrE")</f>
        <v/>
      </c>
      <c r="H1381" s="18">
        <f>HYPERLINK("D:\python\英语学习\voices\"&amp;B1381&amp;"_2.mp3","AmE")</f>
        <v/>
      </c>
      <c r="I1381" s="18">
        <f>HYPERLINK("http://dict.youdao.com/w/"&amp;B1381,"有道")</f>
        <v/>
      </c>
    </row>
    <row r="1382">
      <c r="A1382" s="1" t="inlineStr">
        <is>
          <t>practice</t>
        </is>
      </c>
      <c r="B1382" s="1" t="inlineStr">
        <is>
          <t>denounce</t>
        </is>
      </c>
      <c r="C1382" s="7">
        <f>"vt. 谴责；告发；公然抨击；通告废除"</f>
        <v/>
      </c>
      <c r="G1382" s="18">
        <f>HYPERLINK("D:\python\英语学习\voices\"&amp;B1382&amp;"_1.mp3","BrE")</f>
        <v/>
      </c>
      <c r="H1382" s="18">
        <f>HYPERLINK("D:\python\英语学习\voices\"&amp;B1382&amp;"_2.mp3","AmE")</f>
        <v/>
      </c>
      <c r="I1382" s="18">
        <f>HYPERLINK("http://dict.youdao.com/w/"&amp;B1382,"有道")</f>
        <v/>
      </c>
    </row>
    <row customHeight="1" ht="28.5" r="1383">
      <c r="B1383" s="1" t="inlineStr">
        <is>
          <t>pest</t>
        </is>
      </c>
      <c r="C1383" s="7">
        <f>"n. 害虫；有害之物；讨厌的人"&amp;CHAR(10)&amp;"n. (Pest)人名；(德、捷)佩斯特"</f>
        <v/>
      </c>
      <c r="G1383" s="18">
        <f>HYPERLINK("D:\python\英语学习\voices\"&amp;B1383&amp;"_1.mp3","BrE")</f>
        <v/>
      </c>
      <c r="H1383" s="18">
        <f>HYPERLINK("D:\python\英语学习\voices\"&amp;B1383&amp;"_2.mp3","AmE")</f>
        <v/>
      </c>
      <c r="I1383" s="18">
        <f>HYPERLINK("http://dict.youdao.com/w/"&amp;B1383,"有道")</f>
        <v/>
      </c>
    </row>
    <row r="1384">
      <c r="B1384" s="1" t="inlineStr">
        <is>
          <t>pesticide</t>
        </is>
      </c>
      <c r="C1384" s="7">
        <f>"n. 杀虫剂"</f>
        <v/>
      </c>
      <c r="D1384" s="6" t="inlineStr">
        <is>
          <t>pest害虫 -cide杀死</t>
        </is>
      </c>
      <c r="G1384" s="18">
        <f>HYPERLINK("D:\python\英语学习\voices\"&amp;B1384&amp;"_1.mp3","BrE")</f>
        <v/>
      </c>
      <c r="H1384" s="18">
        <f>HYPERLINK("D:\python\英语学习\voices\"&amp;B1384&amp;"_2.mp3","AmE")</f>
        <v/>
      </c>
      <c r="I1384" s="18">
        <f>HYPERLINK("http://dict.youdao.com/w/"&amp;B1384,"有道")</f>
        <v/>
      </c>
    </row>
    <row customHeight="1" ht="57" r="1385">
      <c r="A1385" s="1" t="inlineStr">
        <is>
          <t>unnecessary</t>
        </is>
      </c>
      <c r="B1385" s="1" t="inlineStr">
        <is>
          <t>peter</t>
        </is>
      </c>
      <c r="C1385" s="7">
        <f>"vt. 逐渐消失；耗尽"&amp;CHAR(10)&amp;"vi. 使…精疲力竭"&amp;CHAR(10)&amp;"n. 麻醉品；保险箱"&amp;CHAR(10)&amp;"n. 彼得(男子名)"</f>
        <v/>
      </c>
      <c r="E1385" s="6" t="inlineStr">
        <is>
          <t>这些意思就没见到用过的</t>
        </is>
      </c>
      <c r="G1385" s="18">
        <f>HYPERLINK("D:\python\英语学习\voices\"&amp;B1385&amp;"_1.mp3","BrE")</f>
        <v/>
      </c>
      <c r="H1385" s="18">
        <f>HYPERLINK("D:\python\英语学习\voices\"&amp;B1385&amp;"_2.mp3","AmE")</f>
        <v/>
      </c>
      <c r="I1385" s="18">
        <f>HYPERLINK("http://dict.youdao.com/w/"&amp;B1385,"有道")</f>
        <v/>
      </c>
    </row>
    <row customHeight="1" ht="42.75" r="1386">
      <c r="A1386" s="1" t="inlineStr">
        <is>
          <t>practice</t>
        </is>
      </c>
      <c r="B1386" s="1" t="inlineStr">
        <is>
          <t>deplore</t>
        </is>
      </c>
      <c r="C1386" s="7">
        <f>"vt. 谴责；悲悼；哀叹；对…深感遗憾"</f>
        <v/>
      </c>
      <c r="G1386" s="18">
        <f>HYPERLINK("D:\python\英语学习\voices\"&amp;B1386&amp;"_1.mp3","BrE")</f>
        <v/>
      </c>
      <c r="H1386" s="18">
        <f>HYPERLINK("D:\python\英语学习\voices\"&amp;B1386&amp;"_2.mp3","AmE")</f>
        <v/>
      </c>
      <c r="I1386" s="18">
        <f>HYPERLINK("http://dict.youdao.com/w/"&amp;B1386,"有道")</f>
        <v/>
      </c>
    </row>
    <row r="1387">
      <c r="B1387" s="1" t="inlineStr">
        <is>
          <t>petroleum</t>
        </is>
      </c>
      <c r="C1387" s="7">
        <f>"n. 石油"</f>
        <v/>
      </c>
      <c r="G1387" s="18">
        <f>HYPERLINK("D:\python\英语学习\voices\"&amp;B1387&amp;"_1.mp3","BrE")</f>
        <v/>
      </c>
      <c r="H1387" s="18">
        <f>HYPERLINK("D:\python\英语学习\voices\"&amp;B1387&amp;"_2.mp3","AmE")</f>
        <v/>
      </c>
      <c r="I1387" s="18">
        <f>HYPERLINK("http://dict.youdao.com/w/"&amp;B1387,"有道")</f>
        <v/>
      </c>
    </row>
    <row customHeight="1" ht="28.5" r="1388">
      <c r="B1388" s="1" t="inlineStr">
        <is>
          <t>petty</t>
        </is>
      </c>
      <c r="C1388" s="7">
        <f>"adj. 琐碎的；小气的；小规模的"&amp;CHAR(10)&amp;"n. (Petty)人名；(英、法)佩蒂"</f>
        <v/>
      </c>
      <c r="G1388" s="18">
        <f>HYPERLINK("D:\python\英语学习\voices\"&amp;B1388&amp;"_1.mp3","BrE")</f>
        <v/>
      </c>
      <c r="H1388" s="18">
        <f>HYPERLINK("D:\python\英语学习\voices\"&amp;B1388&amp;"_2.mp3","AmE")</f>
        <v/>
      </c>
      <c r="I1388" s="18">
        <f>HYPERLINK("http://dict.youdao.com/w/"&amp;B1388,"有道")</f>
        <v/>
      </c>
    </row>
    <row r="1389">
      <c r="B1389" s="1" t="inlineStr">
        <is>
          <t>pharmacist</t>
        </is>
      </c>
      <c r="C1389" s="7">
        <f>"n. 药剂师"</f>
        <v/>
      </c>
      <c r="G1389" s="18">
        <f>HYPERLINK("D:\python\英语学习\voices\"&amp;B1389&amp;"_1.mp3","BrE")</f>
        <v/>
      </c>
      <c r="H1389" s="18">
        <f>HYPERLINK("D:\python\英语学习\voices\"&amp;B1389&amp;"_2.mp3","AmE")</f>
        <v/>
      </c>
      <c r="I1389" s="18">
        <f>HYPERLINK("http://dict.youdao.com/w/"&amp;B1389,"有道")</f>
        <v/>
      </c>
    </row>
    <row customHeight="1" ht="28.5" r="1390">
      <c r="B1390" s="1" t="inlineStr">
        <is>
          <t>phenomenal</t>
        </is>
      </c>
      <c r="C1390" s="7">
        <f>"adj. 现象的；显著的；异常的；能知觉的；惊人的，非凡的"</f>
        <v/>
      </c>
      <c r="G1390" s="18">
        <f>HYPERLINK("D:\python\英语学习\voices\"&amp;B1390&amp;"_1.mp3","BrE")</f>
        <v/>
      </c>
      <c r="H1390" s="18">
        <f>HYPERLINK("D:\python\英语学习\voices\"&amp;B1390&amp;"_2.mp3","AmE")</f>
        <v/>
      </c>
      <c r="I1390" s="18">
        <f>HYPERLINK("http://dict.youdao.com/w/"&amp;B1390,"有道")</f>
        <v/>
      </c>
    </row>
    <row r="1391">
      <c r="B1391" s="1" t="inlineStr">
        <is>
          <t>phonology</t>
        </is>
      </c>
      <c r="C1391" s="7">
        <f>"n. 音系学；音韵学；语音体系"</f>
        <v/>
      </c>
      <c r="G1391" s="18">
        <f>HYPERLINK("D:\python\英语学习\voices\"&amp;B1391&amp;"_1.mp3","BrE")</f>
        <v/>
      </c>
      <c r="H1391" s="18">
        <f>HYPERLINK("D:\python\英语学习\voices\"&amp;B1391&amp;"_2.mp3","AmE")</f>
        <v/>
      </c>
      <c r="I1391" s="18">
        <f>HYPERLINK("http://dict.youdao.com/w/"&amp;B1391,"有道")</f>
        <v/>
      </c>
    </row>
    <row r="1392">
      <c r="B1392" s="1" t="inlineStr">
        <is>
          <t>physiology</t>
        </is>
      </c>
      <c r="C1392" s="7">
        <f>"n. 生理学；生理机能"</f>
        <v/>
      </c>
      <c r="G1392" s="18">
        <f>HYPERLINK("D:\python\英语学习\voices\"&amp;B1392&amp;"_1.mp3","BrE")</f>
        <v/>
      </c>
      <c r="H1392" s="18">
        <f>HYPERLINK("D:\python\英语学习\voices\"&amp;B1392&amp;"_2.mp3","AmE")</f>
        <v/>
      </c>
      <c r="I1392" s="18">
        <f>HYPERLINK("http://dict.youdao.com/w/"&amp;B1392,"有道")</f>
        <v/>
      </c>
    </row>
    <row customHeight="1" ht="28.5" r="1393">
      <c r="B1393" s="1" t="inlineStr">
        <is>
          <t>pickaxe</t>
        </is>
      </c>
      <c r="C1393" s="7">
        <f>"n. 镐；鹤嘴锄"&amp;CHAR(10)&amp;"vt. 用鹤嘴锄掘"</f>
        <v/>
      </c>
      <c r="G1393" s="18">
        <f>HYPERLINK("D:\python\英语学习\voices\"&amp;B1393&amp;"_1.mp3","BrE")</f>
        <v/>
      </c>
      <c r="H1393" s="18">
        <f>HYPERLINK("D:\python\英语学习\voices\"&amp;B1393&amp;"_2.mp3","AmE")</f>
        <v/>
      </c>
      <c r="I1393" s="18">
        <f>HYPERLINK("http://dict.youdao.com/w/"&amp;B1393,"有道")</f>
        <v/>
      </c>
    </row>
    <row r="1394">
      <c r="B1394" s="1" t="inlineStr">
        <is>
          <t>picturesque</t>
        </is>
      </c>
      <c r="C1394" s="7">
        <f>"adj. 独特的；生动的；别致的；图画般的"</f>
        <v/>
      </c>
      <c r="E1394" t="inlineStr">
        <is>
          <t>这个释义不准确！(地方、建筑、景色等)优美的，古色古香的 (语言)生动栩栩如生的  强调古雅</t>
        </is>
      </c>
      <c r="G1394" s="18">
        <f>HYPERLINK("D:\python\英语学习\voices\"&amp;B1394&amp;"_1.mp3","BrE")</f>
        <v/>
      </c>
      <c r="H1394" s="18">
        <f>HYPERLINK("D:\python\英语学习\voices\"&amp;B1394&amp;"_2.mp3","AmE")</f>
        <v/>
      </c>
      <c r="I1394" s="18">
        <f>HYPERLINK("http://dict.youdao.com/w/"&amp;B1394,"有道")</f>
        <v/>
      </c>
    </row>
    <row customHeight="1" ht="42.75" r="1395">
      <c r="B1395" s="1" t="inlineStr">
        <is>
          <t>pier</t>
        </is>
      </c>
      <c r="C1395" s="7">
        <f>"n. 码头，直码头；桥墩；窗间壁"&amp;CHAR(10)&amp;"n. (Pier)人名；(英、德)皮尔；(西)彼尔；(意)皮耶尔"</f>
        <v/>
      </c>
      <c r="G1395" s="18">
        <f>HYPERLINK("D:\python\英语学习\voices\"&amp;B1395&amp;"_1.mp3","BrE")</f>
        <v/>
      </c>
      <c r="H1395" s="18">
        <f>HYPERLINK("D:\python\英语学习\voices\"&amp;B1395&amp;"_2.mp3","AmE")</f>
        <v/>
      </c>
      <c r="I1395" s="18">
        <f>HYPERLINK("http://dict.youdao.com/w/"&amp;B1395,"有道")</f>
        <v/>
      </c>
    </row>
    <row customHeight="1" ht="28.5" r="1396">
      <c r="B1396" s="1" t="inlineStr">
        <is>
          <t>pierce</t>
        </is>
      </c>
      <c r="C1396" s="7">
        <f>"vt. 刺穿；洞察；响彻；深深地打动"&amp;CHAR(10)&amp;"vi. 进入；透入"</f>
        <v/>
      </c>
      <c r="G1396" s="18">
        <f>HYPERLINK("D:\python\英语学习\voices\"&amp;B1396&amp;"_1.mp3","BrE")</f>
        <v/>
      </c>
      <c r="H1396" s="18">
        <f>HYPERLINK("D:\python\英语学习\voices\"&amp;B1396&amp;"_2.mp3","AmE")</f>
        <v/>
      </c>
      <c r="I1396" s="18">
        <f>HYPERLINK("http://dict.youdao.com/w/"&amp;B1396,"有道")</f>
        <v/>
      </c>
    </row>
    <row customHeight="1" ht="42.75" r="1397">
      <c r="B1397" s="1" t="inlineStr">
        <is>
          <t>pigment</t>
        </is>
      </c>
      <c r="C1397" s="7">
        <f>"n. [物][生化] 色素；颜料"&amp;CHAR(10)&amp;"vt. 给…着色"&amp;CHAR(10)&amp;"vi. 呈现颜色"</f>
        <v/>
      </c>
      <c r="G1397" s="18">
        <f>HYPERLINK("D:\python\英语学习\voices\"&amp;B1397&amp;"_1.mp3","BrE")</f>
        <v/>
      </c>
      <c r="H1397" s="18">
        <f>HYPERLINK("D:\python\英语学习\voices\"&amp;B1397&amp;"_2.mp3","AmE")</f>
        <v/>
      </c>
      <c r="I1397" s="18">
        <f>HYPERLINK("http://dict.youdao.com/w/"&amp;B1397,"有道")</f>
        <v/>
      </c>
    </row>
    <row customHeight="1" ht="42.75" r="1398">
      <c r="B1398" s="1" t="inlineStr">
        <is>
          <t>pilgrim</t>
        </is>
      </c>
      <c r="C1398" s="7">
        <f>"n. 朝圣者；漫游者；（美）最初的移民"&amp;CHAR(10)&amp;"vi. 去朝圣；漫游"&amp;CHAR(10)&amp;"n. (Pilgrim)人名；(英、德)皮尔格林"</f>
        <v/>
      </c>
      <c r="G1398" s="18">
        <f>HYPERLINK("D:\python\英语学习\voices\"&amp;B1398&amp;"_1.mp3","BrE")</f>
        <v/>
      </c>
      <c r="H1398" s="18">
        <f>HYPERLINK("D:\python\英语学习\voices\"&amp;B1398&amp;"_2.mp3","AmE")</f>
        <v/>
      </c>
      <c r="I1398" s="18">
        <f>HYPERLINK("http://dict.youdao.com/w/"&amp;B1398,"有道")</f>
        <v/>
      </c>
    </row>
    <row customHeight="1" ht="28.5" r="1399">
      <c r="B1399" s="1" t="inlineStr">
        <is>
          <t>pilgrimage</t>
        </is>
      </c>
      <c r="C1399" s="7">
        <f>"n. 漫游；朝圣之行"&amp;CHAR(10)&amp;"vi. 朝拜；漫游"</f>
        <v/>
      </c>
      <c r="G1399" s="18">
        <f>HYPERLINK("D:\python\英语学习\voices\"&amp;B1399&amp;"_1.mp3","BrE")</f>
        <v/>
      </c>
      <c r="H1399" s="18">
        <f>HYPERLINK("D:\python\英语学习\voices\"&amp;B1399&amp;"_2.mp3","AmE")</f>
        <v/>
      </c>
      <c r="I1399" s="18">
        <f>HYPERLINK("http://dict.youdao.com/w/"&amp;B1399,"有道")</f>
        <v/>
      </c>
    </row>
    <row r="1400">
      <c r="B1400" s="1" t="inlineStr">
        <is>
          <t>pinafore</t>
        </is>
      </c>
      <c r="C1400" s="7">
        <f>"n. 宾纳福号（船只）；围裙"</f>
        <v/>
      </c>
      <c r="G1400" s="18">
        <f>HYPERLINK("D:\python\英语学习\voices\"&amp;B1400&amp;"_1.mp3","BrE")</f>
        <v/>
      </c>
      <c r="H1400" s="18">
        <f>HYPERLINK("D:\python\英语学习\voices\"&amp;B1400&amp;"_2.mp3","AmE")</f>
        <v/>
      </c>
      <c r="I1400" s="18">
        <f>HYPERLINK("http://dict.youdao.com/w/"&amp;B1400,"有道")</f>
        <v/>
      </c>
    </row>
    <row r="1401">
      <c r="B1401" s="1" t="inlineStr">
        <is>
          <t>pious</t>
        </is>
      </c>
      <c r="C1401" s="7">
        <f>"adj. 虔诚的；敬神的；可嘉的；尽责的"</f>
        <v/>
      </c>
      <c r="G1401" s="18">
        <f>HYPERLINK("D:\python\英语学习\voices\"&amp;B1401&amp;"_1.mp3","BrE")</f>
        <v/>
      </c>
      <c r="H1401" s="18">
        <f>HYPERLINK("D:\python\英语学习\voices\"&amp;B1401&amp;"_2.mp3","AmE")</f>
        <v/>
      </c>
      <c r="I1401" s="18">
        <f>HYPERLINK("http://dict.youdao.com/w/"&amp;B1401,"有道")</f>
        <v/>
      </c>
    </row>
    <row customHeight="1" ht="28.5" r="1402">
      <c r="B1402" s="1" t="inlineStr">
        <is>
          <t>piston</t>
        </is>
      </c>
      <c r="C1402" s="7">
        <f>"n. 活塞"&amp;CHAR(10)&amp;"n. (Piston)人名；(英、意)皮斯顿"</f>
        <v/>
      </c>
      <c r="G1402" s="18">
        <f>HYPERLINK("D:\python\英语学习\voices\"&amp;B1402&amp;"_1.mp3","BrE")</f>
        <v/>
      </c>
      <c r="H1402" s="18">
        <f>HYPERLINK("D:\python\英语学习\voices\"&amp;B1402&amp;"_2.mp3","AmE")</f>
        <v/>
      </c>
      <c r="I1402" s="18">
        <f>HYPERLINK("http://dict.youdao.com/w/"&amp;B1402,"有道")</f>
        <v/>
      </c>
    </row>
    <row customHeight="1" ht="99.75" r="1403">
      <c r="B1403" s="1" t="inlineStr">
        <is>
          <t>pit</t>
        </is>
      </c>
      <c r="C1403" s="7">
        <f>"n. 矿井；深坑；陷阱；（物体或人体表面上的）凹陷；（英国剧场的）正厅后排；正厅后排的观众"&amp;CHAR(10)&amp;"vt. 使竞争；窖藏；使凹下；去…之核；使留疤痕"&amp;CHAR(10)&amp;"vi. 凹陷；起凹点"&amp;CHAR(10)&amp;"n. (Pit)人名；(东南亚国家华语)必"</f>
        <v/>
      </c>
      <c r="G1403" s="18">
        <f>HYPERLINK("D:\python\英语学习\voices\"&amp;B1403&amp;"_1.mp3","BrE")</f>
        <v/>
      </c>
      <c r="H1403" s="18">
        <f>HYPERLINK("D:\python\英语学习\voices\"&amp;B1403&amp;"_2.mp3","AmE")</f>
        <v/>
      </c>
      <c r="I1403" s="18">
        <f>HYPERLINK("http://dict.youdao.com/w/"&amp;B1403,"有道")</f>
        <v/>
      </c>
    </row>
    <row customHeight="1" ht="71.25" r="1404">
      <c r="B1404" s="1" t="inlineStr">
        <is>
          <t>pitch</t>
        </is>
      </c>
      <c r="C1404" s="7">
        <f>"vi. 倾斜；投掷；搭帐篷；坠落"&amp;CHAR(10)&amp;"vt. 投；掷；定位于；用沥青涂；扎营；向前倾跌"&amp;CHAR(10)&amp;"n. 沥青；音高；程度；树脂；倾斜；投掷；球场"</f>
        <v/>
      </c>
      <c r="E1404" t="inlineStr">
        <is>
          <t>真·好多意思</t>
        </is>
      </c>
      <c r="G1404" s="18">
        <f>HYPERLINK("D:\python\英语学习\voices\"&amp;B1404&amp;"_1.mp3","BrE")</f>
        <v/>
      </c>
      <c r="H1404" s="18">
        <f>HYPERLINK("D:\python\英语学习\voices\"&amp;B1404&amp;"_2.mp3","AmE")</f>
        <v/>
      </c>
      <c r="I1404" s="18">
        <f>HYPERLINK("http://dict.youdao.com/w/"&amp;B1404,"有道")</f>
        <v/>
      </c>
    </row>
    <row customHeight="1" ht="42.75" r="1405">
      <c r="A1405" s="1" t="inlineStr">
        <is>
          <t>practice</t>
        </is>
      </c>
      <c r="B1405" s="1" t="inlineStr">
        <is>
          <t>discern</t>
        </is>
      </c>
      <c r="C1405" s="7">
        <f>"vt. 识别；领悟，认识"&amp;CHAR(10)&amp;"vi. 看清楚，辨别"</f>
        <v/>
      </c>
      <c r="G1405" s="18">
        <f>HYPERLINK("D:\python\英语学习\voices\"&amp;B1405&amp;"_1.mp3","BrE")</f>
        <v/>
      </c>
      <c r="H1405" s="18">
        <f>HYPERLINK("D:\python\英语学习\voices\"&amp;B1405&amp;"_2.mp3","AmE")</f>
        <v/>
      </c>
      <c r="I1405" s="18">
        <f>HYPERLINK("http://dict.youdao.com/w/"&amp;B1405,"有道")</f>
        <v/>
      </c>
    </row>
    <row r="1406">
      <c r="B1406" s="1" t="inlineStr">
        <is>
          <t>placebo</t>
        </is>
      </c>
      <c r="C1406" s="7">
        <f>"n. 安慰剂；为死者所诵的晚祷词"</f>
        <v/>
      </c>
      <c r="G1406" s="18">
        <f>HYPERLINK("D:\python\英语学习\voices\"&amp;B1406&amp;"_1.mp3","BrE")</f>
        <v/>
      </c>
      <c r="H1406" s="18">
        <f>HYPERLINK("D:\python\英语学习\voices\"&amp;B1406&amp;"_2.mp3","AmE")</f>
        <v/>
      </c>
      <c r="I1406" s="18">
        <f>HYPERLINK("http://dict.youdao.com/w/"&amp;B1406,"有道")</f>
        <v/>
      </c>
    </row>
    <row customHeight="1" ht="42.75" r="1407">
      <c r="B1407" s="1" t="inlineStr">
        <is>
          <t>plaster</t>
        </is>
      </c>
      <c r="C1407" s="7">
        <f>"n. 石膏；灰泥；膏药"&amp;CHAR(10)&amp;"vt. 减轻；粘贴；涂以灰泥；敷以膏药；使平服"&amp;CHAR(10)&amp;"n. (Plaster)人名；(英、德)普拉斯特"</f>
        <v/>
      </c>
      <c r="G1407" s="18">
        <f>HYPERLINK("D:\python\英语学习\voices\"&amp;B1407&amp;"_1.mp3","BrE")</f>
        <v/>
      </c>
      <c r="H1407" s="18">
        <f>HYPERLINK("D:\python\英语学习\voices\"&amp;B1407&amp;"_2.mp3","AmE")</f>
        <v/>
      </c>
      <c r="I1407" s="18">
        <f>HYPERLINK("http://dict.youdao.com/w/"&amp;B1407,"有道")</f>
        <v/>
      </c>
    </row>
    <row customHeight="1" ht="28.5" r="1408">
      <c r="B1408" s="1" t="inlineStr">
        <is>
          <t>plateau</t>
        </is>
      </c>
      <c r="C1408" s="7">
        <f>"n. 高原；稳定水平；托盘；平顶女帽"&amp;CHAR(10)&amp;"vi. 达到平衡；达到稳定时期"</f>
        <v/>
      </c>
      <c r="G1408" s="18">
        <f>HYPERLINK("D:\python\英语学习\voices\"&amp;B1408&amp;"_1.mp3","BrE")</f>
        <v/>
      </c>
      <c r="H1408" s="18">
        <f>HYPERLINK("D:\python\英语学习\voices\"&amp;B1408&amp;"_2.mp3","AmE")</f>
        <v/>
      </c>
      <c r="I1408" s="18">
        <f>HYPERLINK("http://dict.youdao.com/w/"&amp;B1408,"有道")</f>
        <v/>
      </c>
    </row>
    <row r="1409">
      <c r="B1409" s="1" t="inlineStr">
        <is>
          <t>platelet</t>
        </is>
      </c>
      <c r="C1409" s="7">
        <f>"n. [组织] 血小板；薄片"</f>
        <v/>
      </c>
      <c r="G1409" s="18">
        <f>HYPERLINK("D:\python\英语学习\voices\"&amp;B1409&amp;"_1.mp3","BrE")</f>
        <v/>
      </c>
      <c r="H1409" s="18">
        <f>HYPERLINK("D:\python\英语学习\voices\"&amp;B1409&amp;"_2.mp3","AmE")</f>
        <v/>
      </c>
      <c r="I1409" s="18">
        <f>HYPERLINK("http://dict.youdao.com/w/"&amp;B1409,"有道")</f>
        <v/>
      </c>
    </row>
    <row r="1410">
      <c r="B1410" s="1" t="inlineStr">
        <is>
          <t>plea</t>
        </is>
      </c>
      <c r="C1410" s="7">
        <f>"n. 恳求，请求；辩解，辩护；借口，托辞"</f>
        <v/>
      </c>
      <c r="G1410" s="18">
        <f>HYPERLINK("D:\python\英语学习\voices\"&amp;B1410&amp;"_1.mp3","BrE")</f>
        <v/>
      </c>
      <c r="H1410" s="18">
        <f>HYPERLINK("D:\python\英语学习\voices\"&amp;B1410&amp;"_2.mp3","AmE")</f>
        <v/>
      </c>
      <c r="I1410" s="18">
        <f>HYPERLINK("http://dict.youdao.com/w/"&amp;B1410,"有道")</f>
        <v/>
      </c>
    </row>
    <row customHeight="1" ht="28.5" r="1411">
      <c r="B1411" s="1" t="inlineStr">
        <is>
          <t>plead</t>
        </is>
      </c>
      <c r="C1411" s="7">
        <f>"vt. 借口；为...辩护；托称"&amp;CHAR(10)&amp;"vi. 恳求；辩护"</f>
        <v/>
      </c>
      <c r="G1411" s="18">
        <f>HYPERLINK("D:\python\英语学习\voices\"&amp;B1411&amp;"_1.mp3","BrE")</f>
        <v/>
      </c>
      <c r="H1411" s="18">
        <f>HYPERLINK("D:\python\英语学习\voices\"&amp;B1411&amp;"_2.mp3","AmE")</f>
        <v/>
      </c>
      <c r="I1411" s="18">
        <f>HYPERLINK("http://dict.youdao.com/w/"&amp;B1411,"有道")</f>
        <v/>
      </c>
    </row>
    <row customHeight="1" ht="42.75" r="1412">
      <c r="B1412" s="1" t="inlineStr">
        <is>
          <t>pledge</t>
        </is>
      </c>
      <c r="C1412" s="7">
        <f>"n. 保证，誓言；抵押；抵押品，典当物"&amp;CHAR(10)&amp;"vt. 保证，许诺；用……抵押；举杯祝……健康"&amp;CHAR(10)&amp;"n. (Pledge)人名；(英)普莱奇"</f>
        <v/>
      </c>
      <c r="G1412" s="18">
        <f>HYPERLINK("D:\python\英语学习\voices\"&amp;B1412&amp;"_1.mp3","BrE")</f>
        <v/>
      </c>
      <c r="H1412" s="18">
        <f>HYPERLINK("D:\python\英语学习\voices\"&amp;B1412&amp;"_2.mp3","AmE")</f>
        <v/>
      </c>
      <c r="I1412" s="18">
        <f>HYPERLINK("http://dict.youdao.com/w/"&amp;B1412,"有道")</f>
        <v/>
      </c>
    </row>
    <row r="1413">
      <c r="B1413" s="1" t="inlineStr">
        <is>
          <t>plentiful</t>
        </is>
      </c>
      <c r="C1413" s="7">
        <f>"adj. 丰富的；许多的；丰饶的；众多的"</f>
        <v/>
      </c>
      <c r="G1413" s="18">
        <f>HYPERLINK("D:\python\英语学习\voices\"&amp;B1413&amp;"_1.mp3","BrE")</f>
        <v/>
      </c>
      <c r="H1413" s="18">
        <f>HYPERLINK("D:\python\英语学习\voices\"&amp;B1413&amp;"_2.mp3","AmE")</f>
        <v/>
      </c>
      <c r="I1413" s="18">
        <f>HYPERLINK("http://dict.youdao.com/w/"&amp;B1413,"有道")</f>
        <v/>
      </c>
    </row>
    <row customHeight="1" ht="28.5" r="1414">
      <c r="B1414" s="1" t="inlineStr">
        <is>
          <t>plight</t>
        </is>
      </c>
      <c r="C1414" s="7">
        <f>"n. 困境；境况；誓约"&amp;CHAR(10)&amp;"vt. 保证；约定"</f>
        <v/>
      </c>
      <c r="F1414" s="7">
        <f>"The plight of the famine victims commands everyone's symathy"</f>
        <v/>
      </c>
      <c r="G1414" s="18">
        <f>HYPERLINK("D:\python\英语学习\voices\"&amp;B1414&amp;"_1.mp3","BrE")</f>
        <v/>
      </c>
      <c r="H1414" s="18">
        <f>HYPERLINK("D:\python\英语学习\voices\"&amp;B1414&amp;"_2.mp3","AmE")</f>
        <v/>
      </c>
      <c r="I1414" s="18">
        <f>HYPERLINK("http://dict.youdao.com/w/"&amp;B1414,"有道")</f>
        <v/>
      </c>
    </row>
    <row customHeight="1" ht="57" r="1415">
      <c r="B1415" s="1" t="inlineStr">
        <is>
          <t>plough</t>
        </is>
      </c>
      <c r="C1415" s="7">
        <f>"vt. 犁；耕"&amp;CHAR(10)&amp;"vi. 用犁耕田；开路"&amp;CHAR(10)&amp;"n. 犁；耕地（等于plow）"&amp;CHAR(10)&amp;"n. (Plough)人名；(英)普劳"</f>
        <v/>
      </c>
      <c r="G1415" s="18">
        <f>HYPERLINK("D:\python\英语学习\voices\"&amp;B1415&amp;"_1.mp3","BrE")</f>
        <v/>
      </c>
      <c r="H1415" s="18">
        <f>HYPERLINK("D:\python\英语学习\voices\"&amp;B1415&amp;"_2.mp3","AmE")</f>
        <v/>
      </c>
      <c r="I1415" s="18">
        <f>HYPERLINK("http://dict.youdao.com/w/"&amp;B1415,"有道")</f>
        <v/>
      </c>
    </row>
    <row customHeight="1" ht="42.75" r="1416">
      <c r="B1416" s="1" t="inlineStr">
        <is>
          <t>pluck</t>
        </is>
      </c>
      <c r="C1416" s="7">
        <f>"n. 勇气；内脏；快而猛的拉"&amp;CHAR(10)&amp;"vt. 摘；拔；扯"&amp;CHAR(10)&amp;"vi. 拉；拽；扯"</f>
        <v/>
      </c>
      <c r="G1416" s="18">
        <f>HYPERLINK("D:\python\英语学习\voices\"&amp;B1416&amp;"_1.mp3","BrE")</f>
        <v/>
      </c>
      <c r="H1416" s="18">
        <f>HYPERLINK("D:\python\英语学习\voices\"&amp;B1416&amp;"_2.mp3","AmE")</f>
        <v/>
      </c>
      <c r="I1416" s="18">
        <f>HYPERLINK("http://dict.youdao.com/w/"&amp;B1416,"有道")</f>
        <v/>
      </c>
    </row>
    <row r="1417">
      <c r="B1417" s="1" t="inlineStr">
        <is>
          <t>plucky</t>
        </is>
      </c>
      <c r="C1417" s="7">
        <f>"adj. 有勇气的，大胆的"</f>
        <v/>
      </c>
      <c r="D1417" s="6" t="inlineStr">
        <is>
          <t>pluck拔 虎口拔牙-勇敢的</t>
        </is>
      </c>
      <c r="G1417" s="18">
        <f>HYPERLINK("D:\python\英语学习\voices\"&amp;B1417&amp;"_1.mp3","BrE")</f>
        <v/>
      </c>
      <c r="H1417" s="18">
        <f>HYPERLINK("D:\python\英语学习\voices\"&amp;B1417&amp;"_2.mp3","AmE")</f>
        <v/>
      </c>
      <c r="I1417" s="18">
        <f>HYPERLINK("http://dict.youdao.com/w/"&amp;B1417,"有道")</f>
        <v/>
      </c>
    </row>
    <row customHeight="1" ht="85.5" r="1418">
      <c r="B1418" s="1" t="inlineStr">
        <is>
          <t>plump</t>
        </is>
      </c>
      <c r="C1418" s="7">
        <f>"vt. 使丰满；使鼓起；突然放下"&amp;CHAR(10)&amp;"adv. 沉重地；突然地"&amp;CHAR(10)&amp;"vi. 变丰满；鼓起"&amp;CHAR(10)&amp;"adj. 圆胖的，丰满的；鼓起的"&amp;CHAR(10)&amp;"n. 扑通声"&amp;CHAR(10)&amp;"n. (Plump)人名；(德)普伦普"</f>
        <v/>
      </c>
      <c r="G1418" s="18">
        <f>HYPERLINK("D:\python\英语学习\voices\"&amp;B1418&amp;"_1.mp3","BrE")</f>
        <v/>
      </c>
      <c r="H1418" s="18">
        <f>HYPERLINK("D:\python\英语学习\voices\"&amp;B1418&amp;"_2.mp3","AmE")</f>
        <v/>
      </c>
      <c r="I1418" s="18">
        <f>HYPERLINK("http://dict.youdao.com/w/"&amp;B1418,"有道")</f>
        <v/>
      </c>
    </row>
    <row customHeight="1" ht="42.75" r="1419">
      <c r="B1419" s="1" t="inlineStr">
        <is>
          <t>plunge</t>
        </is>
      </c>
      <c r="C1419" s="7">
        <f>"n. 投入；跳进"&amp;CHAR(10)&amp;"vi. 突然地下降；投入；陷入；跳进"&amp;CHAR(10)&amp;"vt. 使陷入；使投入；使插入"</f>
        <v/>
      </c>
      <c r="G1419" s="18">
        <f>HYPERLINK("D:\python\英语学习\voices\"&amp;B1419&amp;"_1.mp3","BrE")</f>
        <v/>
      </c>
      <c r="H1419" s="18">
        <f>HYPERLINK("D:\python\英语学习\voices\"&amp;B1419&amp;"_2.mp3","AmE")</f>
        <v/>
      </c>
      <c r="I1419" s="18">
        <f>HYPERLINK("http://dict.youdao.com/w/"&amp;B1419,"有道")</f>
        <v/>
      </c>
    </row>
    <row customHeight="1" ht="28.5" r="1420">
      <c r="A1420" s="1" t="inlineStr">
        <is>
          <t>unnecessary</t>
        </is>
      </c>
      <c r="B1420" s="1" t="inlineStr">
        <is>
          <t>pneumatic</t>
        </is>
      </c>
      <c r="C1420" s="7">
        <f>"adj. 气动的；充气的；有气胎的"&amp;CHAR(10)&amp;"n. 气胎"</f>
        <v/>
      </c>
      <c r="G1420" s="18">
        <f>HYPERLINK("D:\python\英语学习\voices\"&amp;B1420&amp;"_1.mp3","BrE")</f>
        <v/>
      </c>
      <c r="H1420" s="18">
        <f>HYPERLINK("D:\python\英语学习\voices\"&amp;B1420&amp;"_2.mp3","AmE")</f>
        <v/>
      </c>
      <c r="I1420" s="18">
        <f>HYPERLINK("http://dict.youdao.com/w/"&amp;B1420,"有道")</f>
        <v/>
      </c>
    </row>
    <row r="1421">
      <c r="B1421" s="1" t="inlineStr">
        <is>
          <t>pneumonia</t>
        </is>
      </c>
      <c r="C1421" s="7">
        <f>"n. 肺炎"</f>
        <v/>
      </c>
      <c r="G1421" s="18">
        <f>HYPERLINK("D:\python\英语学习\voices\"&amp;B1421&amp;"_1.mp3","BrE")</f>
        <v/>
      </c>
      <c r="H1421" s="18">
        <f>HYPERLINK("D:\python\英语学习\voices\"&amp;B1421&amp;"_2.mp3","AmE")</f>
        <v/>
      </c>
      <c r="I1421" s="18">
        <f>HYPERLINK("http://dict.youdao.com/w/"&amp;B1421,"有道")</f>
        <v/>
      </c>
    </row>
    <row customHeight="1" ht="29.1" r="1422">
      <c r="B1422" s="1" t="inlineStr">
        <is>
          <t>pointless</t>
        </is>
      </c>
      <c r="C1422" s="7">
        <f>"adj. 无意义的；钝的；不尖的；不得要领的"</f>
        <v/>
      </c>
      <c r="G1422" s="18">
        <f>HYPERLINK("D:\python\英语学习\voices\"&amp;B1422&amp;"_1.mp3","BrE")</f>
        <v/>
      </c>
      <c r="H1422" s="18">
        <f>HYPERLINK("D:\python\英语学习\voices\"&amp;B1422&amp;"_2.mp3","AmE")</f>
        <v/>
      </c>
      <c r="I1422" s="18">
        <f>HYPERLINK("http://dict.youdao.com/w/"&amp;B1422,"有道")</f>
        <v/>
      </c>
    </row>
    <row r="1423">
      <c r="B1423" s="1" t="inlineStr">
        <is>
          <t>polarity</t>
        </is>
      </c>
      <c r="C1423" s="7">
        <f>"n. [物] 极性；两极；对立"</f>
        <v/>
      </c>
      <c r="G1423" s="18">
        <f>HYPERLINK("D:\python\英语学习\voices\"&amp;B1423&amp;"_1.mp3","BrE")</f>
        <v/>
      </c>
      <c r="H1423" s="18">
        <f>HYPERLINK("D:\python\英语学习\voices\"&amp;B1423&amp;"_2.mp3","AmE")</f>
        <v/>
      </c>
      <c r="I1423" s="18">
        <f>HYPERLINK("http://dict.youdao.com/w/"&amp;B1423,"有道")</f>
        <v/>
      </c>
    </row>
    <row customHeight="1" ht="42.75" r="1424">
      <c r="B1424" s="1" t="inlineStr">
        <is>
          <t>pollen</t>
        </is>
      </c>
      <c r="C1424" s="7">
        <f>"vt. 传授花粉给"&amp;CHAR(10)&amp;"n. [植] 花粉"&amp;CHAR(10)&amp;"n. (Pollen)人名；(英)波伦"</f>
        <v/>
      </c>
      <c r="G1424" s="18">
        <f>HYPERLINK("D:\python\英语学习\voices\"&amp;B1424&amp;"_1.mp3","BrE")</f>
        <v/>
      </c>
      <c r="H1424" s="18">
        <f>HYPERLINK("D:\python\英语学习\voices\"&amp;B1424&amp;"_2.mp3","AmE")</f>
        <v/>
      </c>
      <c r="I1424" s="18">
        <f>HYPERLINK("http://dict.youdao.com/w/"&amp;B1424,"有道")</f>
        <v/>
      </c>
    </row>
    <row customHeight="1" ht="57" r="1425">
      <c r="B1425" s="1" t="inlineStr">
        <is>
          <t>pony</t>
        </is>
      </c>
      <c r="C1425" s="7">
        <f>"n. 矮种马；小型马"&amp;CHAR(10)&amp;"adj. 小型的；每日摘要的"&amp;CHAR(10)&amp;"vt. 付清"&amp;CHAR(10)&amp;"vi. 付清"</f>
        <v/>
      </c>
      <c r="G1425" s="18">
        <f>HYPERLINK("D:\python\英语学习\voices\"&amp;B1425&amp;"_1.mp3","BrE")</f>
        <v/>
      </c>
      <c r="H1425" s="18">
        <f>HYPERLINK("D:\python\英语学习\voices\"&amp;B1425&amp;"_2.mp3","AmE")</f>
        <v/>
      </c>
      <c r="I1425" s="18">
        <f>HYPERLINK("http://dict.youdao.com/w/"&amp;B1425,"有道")</f>
        <v/>
      </c>
    </row>
    <row customHeight="1" ht="28.5" r="1426">
      <c r="B1426" s="1" t="inlineStr">
        <is>
          <t>porcelain</t>
        </is>
      </c>
      <c r="C1426" s="7">
        <f>"n. 瓷；瓷器"&amp;CHAR(10)&amp;"adj. 瓷制的；精美的"</f>
        <v/>
      </c>
      <c r="G1426" s="18">
        <f>HYPERLINK("D:\python\英语学习\voices\"&amp;B1426&amp;"_1.mp3","BrE")</f>
        <v/>
      </c>
      <c r="H1426" s="18">
        <f>HYPERLINK("D:\python\英语学习\voices\"&amp;B1426&amp;"_2.mp3","AmE")</f>
        <v/>
      </c>
      <c r="I1426" s="18">
        <f>HYPERLINK("http://dict.youdao.com/w/"&amp;B1426,"有道")</f>
        <v/>
      </c>
    </row>
    <row r="1427">
      <c r="B1427" s="1" t="inlineStr">
        <is>
          <t>porcine</t>
        </is>
      </c>
      <c r="C1427" s="7">
        <f>"adj. 猪的，像猪的"</f>
        <v/>
      </c>
      <c r="G1427" s="18">
        <f>HYPERLINK("D:\python\英语学习\voices\"&amp;B1427&amp;"_1.mp3","BrE")</f>
        <v/>
      </c>
      <c r="H1427" s="18">
        <f>HYPERLINK("D:\python\英语学习\voices\"&amp;B1427&amp;"_2.mp3","AmE")</f>
        <v/>
      </c>
      <c r="I1427" s="18">
        <f>HYPERLINK("http://dict.youdao.com/w/"&amp;B1427,"有道")</f>
        <v/>
      </c>
    </row>
    <row customHeight="1" ht="57" r="1428">
      <c r="B1428" s="1" t="inlineStr">
        <is>
          <t>pore</t>
        </is>
      </c>
      <c r="C1428" s="7">
        <f>"vi. 细想；凝视；熟读"&amp;CHAR(10)&amp;"n. 气孔；小孔"&amp;CHAR(10)&amp;"vt. 使注视"&amp;CHAR(10)&amp;"n. (Pore)人名；(西、芬、加纳、法)波雷"</f>
        <v/>
      </c>
      <c r="G1428" s="18">
        <f>HYPERLINK("D:\python\英语学习\voices\"&amp;B1428&amp;"_1.mp3","BrE")</f>
        <v/>
      </c>
      <c r="H1428" s="18">
        <f>HYPERLINK("D:\python\英语学习\voices\"&amp;B1428&amp;"_2.mp3","AmE")</f>
        <v/>
      </c>
      <c r="I1428" s="18">
        <f>HYPERLINK("http://dict.youdao.com/w/"&amp;B1428,"有道")</f>
        <v/>
      </c>
    </row>
    <row r="1429">
      <c r="B1429" s="1" t="inlineStr">
        <is>
          <t>positively</t>
        </is>
      </c>
      <c r="C1429" s="7">
        <f>"adv. 肯定地；明确地；断然地；乐观地"</f>
        <v/>
      </c>
      <c r="G1429" s="18">
        <f>HYPERLINK("D:\python\英语学习\voices\"&amp;B1429&amp;"_1.mp3","BrE")</f>
        <v/>
      </c>
      <c r="H1429" s="18">
        <f>HYPERLINK("D:\python\英语学习\voices\"&amp;B1429&amp;"_2.mp3","AmE")</f>
        <v/>
      </c>
      <c r="I1429" s="18">
        <f>HYPERLINK("http://dict.youdao.com/w/"&amp;B1429,"有道")</f>
        <v/>
      </c>
    </row>
    <row customHeight="1" ht="28.5" r="1430">
      <c r="B1430" s="1" t="inlineStr">
        <is>
          <t>postpone</t>
        </is>
      </c>
      <c r="C1430" s="7">
        <f>"vt. 使…延期；把…放在次要地位；把…放在后面"&amp;CHAR(10)&amp;"vi. 延缓，延迟；延缓发作"</f>
        <v/>
      </c>
      <c r="G1430" s="18">
        <f>HYPERLINK("D:\python\英语学习\voices\"&amp;B1430&amp;"_1.mp3","BrE")</f>
        <v/>
      </c>
      <c r="H1430" s="18">
        <f>HYPERLINK("D:\python\英语学习\voices\"&amp;B1430&amp;"_2.mp3","AmE")</f>
        <v/>
      </c>
      <c r="I1430" s="18">
        <f>HYPERLINK("http://dict.youdao.com/w/"&amp;B1430,"有道")</f>
        <v/>
      </c>
    </row>
    <row customHeight="1" ht="409.5" r="1431">
      <c r="B1431" s="1" t="inlineStr">
        <is>
          <t>postulate</t>
        </is>
      </c>
      <c r="C1431" s="7">
        <f>"vt. 假定；要求；视…为理所当然"&amp;CHAR(10)&amp;"n. 基本条件；假定"</f>
        <v/>
      </c>
      <c r="E1431" s="7" t="inlineStr">
        <is>
          <t>presume, suppose, guess, postulate, assume
这组词都有“假设，猜想，推测”的意思，其区别是：
presume 侧重以过去经验或根据现实的某些感觉把某事认定为是事实。
suppose 常用词，意义较广泛，指缺乏确切事实，根据一些现象进行的推测，也可指为论证而提出合乎逻辑推理的某种假定，有时仅表示自己的意见。
guess 常用词，指毫无根据仅凭个人主观臆断或碰运气的猜测。
postulate 指为证实一个理论的正确性而进行的假设。
assume 指有很少或完全无根据的武断推测或不合逻辑的推理。</t>
        </is>
      </c>
      <c r="F1431" s="14">
        <f>"foreign policy and historical and cultural traditions postulate that China will inevitably adopt such a national defense policy.
中国的国家利益、社会制度、对外政策和历史文化传统，决定中国必然实行防御性的国防政策。"</f>
        <v/>
      </c>
      <c r="G1431" s="18">
        <f>HYPERLINK("D:\python\英语学习\voices\"&amp;B1431&amp;"_1.mp3","BrE")</f>
        <v/>
      </c>
      <c r="H1431" s="18">
        <f>HYPERLINK("D:\python\英语学习\voices\"&amp;B1431&amp;"_2.mp3","AmE")</f>
        <v/>
      </c>
      <c r="I1431" s="18">
        <f>HYPERLINK("http://dict.youdao.com/w/"&amp;B1431,"有道")</f>
        <v/>
      </c>
    </row>
    <row customHeight="1" ht="57" r="1432">
      <c r="B1432" s="1" t="inlineStr">
        <is>
          <t>pot</t>
        </is>
      </c>
      <c r="C1432" s="7">
        <f>"n. 壶；盆；罐"&amp;CHAR(10)&amp;"vt. 把…装罐；射击；节略"&amp;CHAR(10)&amp;"vi. 随手射击"&amp;CHAR(10)&amp;"n. (Pot)人名；(柬)布特；(捷)波特；(法)波"</f>
        <v/>
      </c>
      <c r="G1432" s="18">
        <f>HYPERLINK("D:\python\英语学习\voices\"&amp;B1432&amp;"_1.mp3","BrE")</f>
        <v/>
      </c>
      <c r="H1432" s="18">
        <f>HYPERLINK("D:\python\英语学习\voices\"&amp;B1432&amp;"_2.mp3","AmE")</f>
        <v/>
      </c>
      <c r="I1432" s="18">
        <f>HYPERLINK("http://dict.youdao.com/w/"&amp;B1432,"有道")</f>
        <v/>
      </c>
    </row>
    <row r="1433">
      <c r="B1433" s="1" t="inlineStr">
        <is>
          <t>potassium</t>
        </is>
      </c>
      <c r="C1433" s="7">
        <f>"n. [化学] 钾"</f>
        <v/>
      </c>
      <c r="G1433" s="18">
        <f>HYPERLINK("D:\python\英语学习\voices\"&amp;B1433&amp;"_1.mp3","BrE")</f>
        <v/>
      </c>
      <c r="H1433" s="18">
        <f>HYPERLINK("D:\python\英语学习\voices\"&amp;B1433&amp;"_2.mp3","AmE")</f>
        <v/>
      </c>
      <c r="I1433" s="18">
        <f>HYPERLINK("http://dict.youdao.com/w/"&amp;B1433,"有道")</f>
        <v/>
      </c>
    </row>
    <row r="1434">
      <c r="B1434" s="1" t="inlineStr">
        <is>
          <t>practicality</t>
        </is>
      </c>
      <c r="C1434" s="7">
        <f>"n. 实用性，实际性；实际，实例"</f>
        <v/>
      </c>
      <c r="G1434" s="18">
        <f>HYPERLINK("D:\python\英语学习\voices\"&amp;B1434&amp;"_1.mp3","BrE")</f>
        <v/>
      </c>
      <c r="H1434" s="18">
        <f>HYPERLINK("D:\python\英语学习\voices\"&amp;B1434&amp;"_2.mp3","AmE")</f>
        <v/>
      </c>
      <c r="I1434" s="18">
        <f>HYPERLINK("http://dict.youdao.com/w/"&amp;B1434,"有道")</f>
        <v/>
      </c>
    </row>
    <row r="1435">
      <c r="B1435" s="1" t="inlineStr">
        <is>
          <t>practically</t>
        </is>
      </c>
      <c r="C1435" s="7">
        <f>"adv. 实际地；几乎；事实上"</f>
        <v/>
      </c>
      <c r="E1435" s="6" t="inlineStr">
        <is>
          <t>几乎-替换almost</t>
        </is>
      </c>
      <c r="G1435" s="18">
        <f>HYPERLINK("D:\python\英语学习\voices\"&amp;B1435&amp;"_1.mp3","BrE")</f>
        <v/>
      </c>
      <c r="H1435" s="18">
        <f>HYPERLINK("D:\python\英语学习\voices\"&amp;B1435&amp;"_2.mp3","AmE")</f>
        <v/>
      </c>
      <c r="I1435" s="18">
        <f>HYPERLINK("http://dict.youdao.com/w/"&amp;B1435,"有道")</f>
        <v/>
      </c>
    </row>
    <row r="1436">
      <c r="B1436" s="1" t="inlineStr">
        <is>
          <t>prairie</t>
        </is>
      </c>
      <c r="C1436" s="7">
        <f>"n. 大草原；牧场"</f>
        <v/>
      </c>
      <c r="G1436" s="18">
        <f>HYPERLINK("D:\python\英语学习\voices\"&amp;B1436&amp;"_1.mp3","BrE")</f>
        <v/>
      </c>
      <c r="H1436" s="18">
        <f>HYPERLINK("D:\python\英语学习\voices\"&amp;B1436&amp;"_2.mp3","AmE")</f>
        <v/>
      </c>
      <c r="I1436" s="18">
        <f>HYPERLINK("http://dict.youdao.com/w/"&amp;B1436,"有道")</f>
        <v/>
      </c>
    </row>
    <row customHeight="1" ht="42.75" r="1437">
      <c r="B1437" s="1" t="inlineStr">
        <is>
          <t>preach</t>
        </is>
      </c>
      <c r="C1437" s="7">
        <f>"vt. 说教；讲道；鼓吹；传道；反复灌输"&amp;CHAR(10)&amp;"vi. 说教；讲道；鼓吹；宣扬"&amp;CHAR(10)&amp;"n. 说教"</f>
        <v/>
      </c>
      <c r="G1437" s="18">
        <f>HYPERLINK("D:\python\英语学习\voices\"&amp;B1437&amp;"_1.mp3","BrE")</f>
        <v/>
      </c>
      <c r="H1437" s="18">
        <f>HYPERLINK("D:\python\英语学习\voices\"&amp;B1437&amp;"_2.mp3","AmE")</f>
        <v/>
      </c>
      <c r="I1437" s="18">
        <f>HYPERLINK("http://dict.youdao.com/w/"&amp;B1437,"有道")</f>
        <v/>
      </c>
    </row>
    <row customHeight="1" ht="28.5" r="1438">
      <c r="B1438" s="1" t="inlineStr">
        <is>
          <t>precede</t>
        </is>
      </c>
      <c r="C1438" s="7">
        <f>"vt. 领先，在…之前；优于，高于"&amp;CHAR(10)&amp;"vi. 领先，在前面"</f>
        <v/>
      </c>
      <c r="G1438" s="18">
        <f>HYPERLINK("D:\python\英语学习\voices\"&amp;B1438&amp;"_1.mp3","BrE")</f>
        <v/>
      </c>
      <c r="H1438" s="18">
        <f>HYPERLINK("D:\python\英语学习\voices\"&amp;B1438&amp;"_2.mp3","AmE")</f>
        <v/>
      </c>
      <c r="I1438" s="18">
        <f>HYPERLINK("http://dict.youdao.com/w/"&amp;B1438,"有道")</f>
        <v/>
      </c>
    </row>
    <row customHeight="1" ht="28.5" r="1439">
      <c r="B1439" s="1" t="inlineStr">
        <is>
          <t>preceding</t>
        </is>
      </c>
      <c r="C1439" s="7">
        <f>"adj. 在前的；前述的"&amp;CHAR(10)&amp;"v. 在...之前（precede的ing形式）"</f>
        <v/>
      </c>
      <c r="G1439" s="18">
        <f>HYPERLINK("D:\python\英语学习\voices\"&amp;B1439&amp;"_1.mp3","BrE")</f>
        <v/>
      </c>
      <c r="H1439" s="18">
        <f>HYPERLINK("D:\python\英语学习\voices\"&amp;B1439&amp;"_2.mp3","AmE")</f>
        <v/>
      </c>
      <c r="I1439" s="18">
        <f>HYPERLINK("http://dict.youdao.com/w/"&amp;B1439,"有道")</f>
        <v/>
      </c>
    </row>
    <row customHeight="1" ht="57" r="1440">
      <c r="B1440" s="1" t="inlineStr">
        <is>
          <t>precipitate</t>
        </is>
      </c>
      <c r="C1440" s="7">
        <f>"n. [化学] 沉淀物"&amp;CHAR(10)&amp;"vt. 使沉淀；促成；猛抛；使陷入"&amp;CHAR(10)&amp;"vi. [化学] 沉淀；猛地落下；冷凝成为雨或雪等"&amp;CHAR(10)&amp;"adj. 突如其来的；猛地落下的；急促的"</f>
        <v/>
      </c>
      <c r="E1440" s="16" t="inlineStr">
        <is>
          <t>加速(坏事的发生)</t>
        </is>
      </c>
      <c r="G1440" s="18">
        <f>HYPERLINK("D:\python\英语学习\voices\"&amp;B1440&amp;"_1.mp3","BrE")</f>
        <v/>
      </c>
      <c r="H1440" s="18">
        <f>HYPERLINK("D:\python\英语学习\voices\"&amp;B1440&amp;"_2.mp3","AmE")</f>
        <v/>
      </c>
      <c r="I1440" s="18">
        <f>HYPERLINK("http://dict.youdao.com/w/"&amp;B1440,"有道")</f>
        <v/>
      </c>
    </row>
    <row customHeight="1" ht="28.5" r="1441">
      <c r="B1441" s="1" t="inlineStr">
        <is>
          <t>precipitation</t>
        </is>
      </c>
      <c r="C1441" s="7">
        <f>"n. [化学] 沉淀，[化学] 沉淀物；降水；冰雹；坠落；鲁莽"</f>
        <v/>
      </c>
      <c r="G1441" s="18">
        <f>HYPERLINK("D:\python\英语学习\voices\"&amp;B1441&amp;"_1.mp3","BrE")</f>
        <v/>
      </c>
      <c r="H1441" s="18">
        <f>HYPERLINK("D:\python\英语学习\voices\"&amp;B1441&amp;"_2.mp3","AmE")</f>
        <v/>
      </c>
      <c r="I1441" s="18">
        <f>HYPERLINK("http://dict.youdao.com/w/"&amp;B1441,"有道")</f>
        <v/>
      </c>
    </row>
    <row customHeight="1" ht="42.75" r="1442">
      <c r="A1442" s="1" t="inlineStr">
        <is>
          <t>practice</t>
        </is>
      </c>
      <c r="B1442" s="1" t="inlineStr">
        <is>
          <t>discourse</t>
        </is>
      </c>
      <c r="C1442" s="7">
        <f>"n. 论述；谈话；演讲"&amp;CHAR(10)&amp;"vi. 演说；谈论；讲述"&amp;CHAR(10)&amp;"vt. 说出；演奏出"</f>
        <v/>
      </c>
      <c r="G1442" s="18">
        <f>HYPERLINK("D:\python\英语学习\voices\"&amp;B1442&amp;"_1.mp3","BrE")</f>
        <v/>
      </c>
      <c r="H1442" s="18">
        <f>HYPERLINK("D:\python\英语学习\voices\"&amp;B1442&amp;"_2.mp3","AmE")</f>
        <v/>
      </c>
      <c r="I1442" s="18">
        <f>HYPERLINK("http://dict.youdao.com/w/"&amp;B1442,"有道")</f>
        <v/>
      </c>
    </row>
    <row r="1443">
      <c r="A1443" s="1" t="inlineStr">
        <is>
          <t>practice</t>
        </is>
      </c>
      <c r="B1443" s="1" t="inlineStr">
        <is>
          <t>discrepancy</t>
        </is>
      </c>
      <c r="C1443" s="7">
        <f>"n. 不符；矛盾；相差"</f>
        <v/>
      </c>
      <c r="E1443" s="6" t="inlineStr">
        <is>
          <t>可以替换difference</t>
        </is>
      </c>
      <c r="G1443" s="18">
        <f>HYPERLINK("D:\python\英语学习\voices\"&amp;B1443&amp;"_1.mp3","BrE")</f>
        <v/>
      </c>
      <c r="H1443" s="18">
        <f>HYPERLINK("D:\python\英语学习\voices\"&amp;B1443&amp;"_2.mp3","AmE")</f>
        <v/>
      </c>
      <c r="I1443" s="18">
        <f>HYPERLINK("http://dict.youdao.com/w/"&amp;B1443,"有道")</f>
        <v/>
      </c>
    </row>
    <row r="1444">
      <c r="B1444" s="1" t="inlineStr">
        <is>
          <t>predator</t>
        </is>
      </c>
      <c r="C1444" s="7">
        <f>"n. [动] 捕食者；[动] 食肉动物；掠夺者"</f>
        <v/>
      </c>
      <c r="G1444" s="18">
        <f>HYPERLINK("D:\python\英语学习\voices\"&amp;B1444&amp;"_1.mp3","BrE")</f>
        <v/>
      </c>
      <c r="H1444" s="18">
        <f>HYPERLINK("D:\python\英语学习\voices\"&amp;B1444&amp;"_2.mp3","AmE")</f>
        <v/>
      </c>
      <c r="I1444" s="18">
        <f>HYPERLINK("http://dict.youdao.com/w/"&amp;B1444,"有道")</f>
        <v/>
      </c>
    </row>
    <row customHeight="1" ht="57" r="1445">
      <c r="B1445" s="1" t="inlineStr">
        <is>
          <t>predicate</t>
        </is>
      </c>
      <c r="C1445" s="7">
        <f>"vt. 断定为…；使…基于"&amp;CHAR(10)&amp;"vi. 断言，断定"&amp;CHAR(10)&amp;"n. 谓语，述语"&amp;CHAR(10)&amp;"adj. 谓语的；述语的"</f>
        <v/>
      </c>
      <c r="G1445" s="18">
        <f>HYPERLINK("D:\python\英语学习\voices\"&amp;B1445&amp;"_1.mp3","BrE")</f>
        <v/>
      </c>
      <c r="H1445" s="18">
        <f>HYPERLINK("D:\python\英语学习\voices\"&amp;B1445&amp;"_2.mp3","AmE")</f>
        <v/>
      </c>
      <c r="I1445" s="18">
        <f>HYPERLINK("http://dict.youdao.com/w/"&amp;B1445,"有道")</f>
        <v/>
      </c>
    </row>
    <row r="1446">
      <c r="B1446" s="1" t="inlineStr">
        <is>
          <t>preferable</t>
        </is>
      </c>
      <c r="C1446" s="7">
        <f>"adj. 更好的，更可取的；更合意的"</f>
        <v/>
      </c>
      <c r="G1446" s="18">
        <f>HYPERLINK("D:\python\英语学习\voices\"&amp;B1446&amp;"_1.mp3","BrE")</f>
        <v/>
      </c>
      <c r="H1446" s="18">
        <f>HYPERLINK("D:\python\英语学习\voices\"&amp;B1446&amp;"_2.mp3","AmE")</f>
        <v/>
      </c>
      <c r="I1446" s="18">
        <f>HYPERLINK("http://dict.youdao.com/w/"&amp;B1446,"有道")</f>
        <v/>
      </c>
    </row>
    <row r="1447">
      <c r="B1447" s="1" t="inlineStr">
        <is>
          <t>preferential</t>
        </is>
      </c>
      <c r="C1447" s="7">
        <f>"adj. 优先的；选择的；特惠的；先取的"</f>
        <v/>
      </c>
      <c r="G1447" s="18">
        <f>HYPERLINK("D:\python\英语学习\voices\"&amp;B1447&amp;"_1.mp3","BrE")</f>
        <v/>
      </c>
      <c r="H1447" s="18">
        <f>HYPERLINK("D:\python\英语学习\voices\"&amp;B1447&amp;"_2.mp3","AmE")</f>
        <v/>
      </c>
      <c r="I1447" s="18">
        <f>HYPERLINK("http://dict.youdao.com/w/"&amp;B1447,"有道")</f>
        <v/>
      </c>
    </row>
    <row customHeight="1" ht="28.5" r="1448">
      <c r="B1448" s="1" t="inlineStr">
        <is>
          <t>prejudice</t>
        </is>
      </c>
      <c r="C1448" s="7">
        <f>"n. 偏见；侵害"&amp;CHAR(10)&amp;"vt. 损害；使有偏见"</f>
        <v/>
      </c>
      <c r="G1448" s="18">
        <f>HYPERLINK("D:\python\英语学习\voices\"&amp;B1448&amp;"_1.mp3","BrE")</f>
        <v/>
      </c>
      <c r="H1448" s="18">
        <f>HYPERLINK("D:\python\英语学习\voices\"&amp;B1448&amp;"_2.mp3","AmE")</f>
        <v/>
      </c>
      <c r="I1448" s="18">
        <f>HYPERLINK("http://dict.youdao.com/w/"&amp;B1448,"有道")</f>
        <v/>
      </c>
    </row>
    <row customHeight="1" ht="28.5" r="1449">
      <c r="B1449" s="1" t="inlineStr">
        <is>
          <t>preliminary</t>
        </is>
      </c>
      <c r="C1449" s="7">
        <f>"n. 准备；预赛；初步措施"&amp;CHAR(10)&amp;"adj. 初步的；开始的；预备的"</f>
        <v/>
      </c>
      <c r="G1449" s="18">
        <f>HYPERLINK("D:\python\英语学习\voices\"&amp;B1449&amp;"_1.mp3","BrE")</f>
        <v/>
      </c>
      <c r="H1449" s="18">
        <f>HYPERLINK("D:\python\英语学习\voices\"&amp;B1449&amp;"_2.mp3","AmE")</f>
        <v/>
      </c>
      <c r="I1449" s="18">
        <f>HYPERLINK("http://dict.youdao.com/w/"&amp;B1449,"有道")</f>
        <v/>
      </c>
    </row>
    <row customHeight="1" ht="28.5" r="1450">
      <c r="B1450" s="1" t="inlineStr">
        <is>
          <t>preoccupation</t>
        </is>
      </c>
      <c r="C1450" s="7">
        <f>"n. 全神贯注，入神；当务之急；关注的事物；抢先占据；成见"</f>
        <v/>
      </c>
      <c r="G1450" s="18">
        <f>HYPERLINK("D:\python\英语学习\voices\"&amp;B1450&amp;"_1.mp3","BrE")</f>
        <v/>
      </c>
      <c r="H1450" s="18">
        <f>HYPERLINK("D:\python\英语学习\voices\"&amp;B1450&amp;"_2.mp3","AmE")</f>
        <v/>
      </c>
      <c r="I1450" s="18">
        <f>HYPERLINK("http://dict.youdao.com/w/"&amp;B1450,"有道")</f>
        <v/>
      </c>
    </row>
    <row customHeight="1" ht="57" r="1451">
      <c r="A1451" s="1" t="inlineStr">
        <is>
          <t>practice</t>
        </is>
      </c>
      <c r="B1451" s="1" t="inlineStr">
        <is>
          <t>discretionary</t>
        </is>
      </c>
      <c r="C1451" s="7">
        <f>"adj. 任意的；自由决定的"</f>
        <v/>
      </c>
      <c r="D1451" s="6" t="inlineStr">
        <is>
          <t>discretion-慎重谨慎/随意/自行决定的自由</t>
        </is>
      </c>
      <c r="E1451" s="16" t="inlineStr">
        <is>
          <t>酌情行事</t>
        </is>
      </c>
      <c r="F1451">
        <f>"The court has discretionary powers."</f>
        <v/>
      </c>
      <c r="G1451" s="18">
        <f>HYPERLINK("D:\python\英语学习\voices\"&amp;B1451&amp;"_1.mp3","BrE")</f>
        <v/>
      </c>
      <c r="H1451" s="18">
        <f>HYPERLINK("D:\python\英语学习\voices\"&amp;B1451&amp;"_2.mp3","AmE")</f>
        <v/>
      </c>
      <c r="I1451" s="18">
        <f>HYPERLINK("http://dict.youdao.com/w/"&amp;B1451,"有道")</f>
        <v/>
      </c>
    </row>
    <row customHeight="1" ht="85.5" r="1452">
      <c r="B1452" s="1" t="inlineStr">
        <is>
          <t>prep</t>
        </is>
      </c>
      <c r="C1452" s="7">
        <f>"n. 预备；预习；准备功课"&amp;CHAR(10)&amp;"vi. 上预备学校；作好准备"&amp;CHAR(10)&amp;"vt. 使准备好；使（病人）准备接受手术"&amp;CHAR(10)&amp;"abbr. 准备（preparation）；预备的（preparatory）；前置词（preposition）"&amp;CHAR(10)&amp;"n. (Prep)人名；(俄)普列普"</f>
        <v/>
      </c>
      <c r="G1452" s="18">
        <f>HYPERLINK("D:\python\英语学习\voices\"&amp;B1452&amp;"_1.mp3","BrE")</f>
        <v/>
      </c>
      <c r="H1452" s="18">
        <f>HYPERLINK("D:\python\英语学习\voices\"&amp;B1452&amp;"_2.mp3","AmE")</f>
        <v/>
      </c>
      <c r="I1452" s="18">
        <f>HYPERLINK("http://dict.youdao.com/w/"&amp;B1452,"有道")</f>
        <v/>
      </c>
    </row>
    <row r="1453">
      <c r="B1453" s="1" t="inlineStr">
        <is>
          <t>preposition</t>
        </is>
      </c>
      <c r="C1453" s="7">
        <f>"n. 介词；前置词"</f>
        <v/>
      </c>
      <c r="G1453" s="18">
        <f>HYPERLINK("D:\python\英语学习\voices\"&amp;B1453&amp;"_1.mp3","BrE")</f>
        <v/>
      </c>
      <c r="H1453" s="18">
        <f>HYPERLINK("D:\python\英语学习\voices\"&amp;B1453&amp;"_2.mp3","AmE")</f>
        <v/>
      </c>
      <c r="I1453" s="18">
        <f>HYPERLINK("http://dict.youdao.com/w/"&amp;B1453,"有道")</f>
        <v/>
      </c>
    </row>
    <row customHeight="1" ht="28.5" r="1454">
      <c r="B1454" s="1" t="inlineStr">
        <is>
          <t>pre-requisite</t>
        </is>
      </c>
      <c r="C1454" s="7">
        <f>"adj. 必须的；首要的"&amp;CHAR(10)&amp;"n. 必要事；首要事"</f>
        <v/>
      </c>
      <c r="G1454" s="18">
        <f>HYPERLINK("D:\python\英语学习\voices\"&amp;B1454&amp;"_1.mp3","BrE")</f>
        <v/>
      </c>
      <c r="H1454" s="18">
        <f>HYPERLINK("D:\python\英语学习\voices\"&amp;B1454&amp;"_2.mp3","AmE")</f>
        <v/>
      </c>
      <c r="I1454" s="18">
        <f>HYPERLINK("http://dict.youdao.com/w/"&amp;B1454,"有道")</f>
        <v/>
      </c>
    </row>
    <row customHeight="1" ht="28.5" r="1455">
      <c r="B1455" s="1" t="inlineStr">
        <is>
          <t>preside</t>
        </is>
      </c>
      <c r="C1455" s="7">
        <f>"vi. 主持，担任会议主席"&amp;CHAR(10)&amp;"vt. 管理"</f>
        <v/>
      </c>
      <c r="E1455" s="6" t="inlineStr">
        <is>
          <t>pre'side</t>
        </is>
      </c>
      <c r="G1455" s="18">
        <f>HYPERLINK("D:\python\英语学习\voices\"&amp;B1455&amp;"_1.mp3","BrE")</f>
        <v/>
      </c>
      <c r="H1455" s="18">
        <f>HYPERLINK("D:\python\英语学习\voices\"&amp;B1455&amp;"_2.mp3","AmE")</f>
        <v/>
      </c>
      <c r="I1455" s="18">
        <f>HYPERLINK("http://dict.youdao.com/w/"&amp;B1455,"有道")</f>
        <v/>
      </c>
    </row>
    <row customHeight="1" ht="42.75" r="1456">
      <c r="B1456" s="1" t="inlineStr">
        <is>
          <t>prestige</t>
        </is>
      </c>
      <c r="C1456" s="7">
        <f>"n. 威望，声望；声誉"&amp;CHAR(10)&amp;"n. (Prestige)人名；(英)普雷斯蒂奇"&amp;CHAR(10)&amp;"adj. 令人敬仰的；受尊重的；贵重的"</f>
        <v/>
      </c>
      <c r="G1456" s="18">
        <f>HYPERLINK("D:\python\英语学习\voices\"&amp;B1456&amp;"_1.mp3","BrE")</f>
        <v/>
      </c>
      <c r="H1456" s="18">
        <f>HYPERLINK("D:\python\英语学习\voices\"&amp;B1456&amp;"_2.mp3","AmE")</f>
        <v/>
      </c>
      <c r="I1456" s="18">
        <f>HYPERLINK("http://dict.youdao.com/w/"&amp;B1456,"有道")</f>
        <v/>
      </c>
    </row>
    <row r="1457">
      <c r="B1457" s="1" t="inlineStr">
        <is>
          <t>presumably</t>
        </is>
      </c>
      <c r="C1457" s="7">
        <f>"adv. 大概；推测起来；可假定"</f>
        <v/>
      </c>
      <c r="G1457" s="18">
        <f>HYPERLINK("D:\python\英语学习\voices\"&amp;B1457&amp;"_1.mp3","BrE")</f>
        <v/>
      </c>
      <c r="H1457" s="18">
        <f>HYPERLINK("D:\python\英语学习\voices\"&amp;B1457&amp;"_2.mp3","AmE")</f>
        <v/>
      </c>
      <c r="I1457" s="18">
        <f>HYPERLINK("http://dict.youdao.com/w/"&amp;B1457,"有道")</f>
        <v/>
      </c>
    </row>
    <row customHeight="1" ht="28.5" r="1458">
      <c r="B1458" s="1" t="inlineStr">
        <is>
          <t>presume</t>
        </is>
      </c>
      <c r="C1458" s="7">
        <f>"vt. 假定；推测；擅自；意味着"&amp;CHAR(10)&amp;"vi. 相信；擅自行为"</f>
        <v/>
      </c>
      <c r="G1458" s="18">
        <f>HYPERLINK("D:\python\英语学习\voices\"&amp;B1458&amp;"_1.mp3","BrE")</f>
        <v/>
      </c>
      <c r="H1458" s="18">
        <f>HYPERLINK("D:\python\英语学习\voices\"&amp;B1458&amp;"_2.mp3","AmE")</f>
        <v/>
      </c>
      <c r="I1458" s="18">
        <f>HYPERLINK("http://dict.youdao.com/w/"&amp;B1458,"有道")</f>
        <v/>
      </c>
    </row>
    <row customHeight="1" ht="28.5" r="1459">
      <c r="B1459" s="1" t="inlineStr">
        <is>
          <t>pretext</t>
        </is>
      </c>
      <c r="C1459" s="7">
        <f>"n. 借口；托辞"&amp;CHAR(10)&amp;"vt. 以…为借口"</f>
        <v/>
      </c>
      <c r="E1459" s="6" t="inlineStr">
        <is>
          <t>on layoutthe pretext of...以。。的借口</t>
        </is>
      </c>
      <c r="G1459" s="18">
        <f>HYPERLINK("D:\python\英语学习\voices\"&amp;B1459&amp;"_1.mp3","BrE")</f>
        <v/>
      </c>
      <c r="H1459" s="18">
        <f>HYPERLINK("D:\python\英语学习\voices\"&amp;B1459&amp;"_2.mp3","AmE")</f>
        <v/>
      </c>
      <c r="I1459" s="18">
        <f>HYPERLINK("http://dict.youdao.com/w/"&amp;B1459,"有道")</f>
        <v/>
      </c>
    </row>
    <row r="1460">
      <c r="B1460" s="1" t="inlineStr">
        <is>
          <t>prevalence</t>
        </is>
      </c>
      <c r="C1460" s="7">
        <f>"n. 流行；普遍；广泛"</f>
        <v/>
      </c>
      <c r="G1460" s="18">
        <f>HYPERLINK("D:\python\英语学习\voices\"&amp;B1460&amp;"_1.mp3","BrE")</f>
        <v/>
      </c>
      <c r="H1460" s="18">
        <f>HYPERLINK("D:\python\英语学习\voices\"&amp;B1460&amp;"_2.mp3","AmE")</f>
        <v/>
      </c>
      <c r="I1460" s="18">
        <f>HYPERLINK("http://dict.youdao.com/w/"&amp;B1460,"有道")</f>
        <v/>
      </c>
    </row>
    <row customHeight="1" ht="57" r="1461">
      <c r="B1461" s="1" t="inlineStr">
        <is>
          <t>prick</t>
        </is>
      </c>
      <c r="C1461" s="7">
        <f>"vt. 刺，戳；刺伤，刺痛；竖起"&amp;CHAR(10)&amp;"n. 刺，扎；刺痛，刺伤；阴茎；锥"&amp;CHAR(10)&amp;"vi. 刺；竖起"&amp;CHAR(10)&amp;"adj. 竖起的"</f>
        <v/>
      </c>
      <c r="G1461" s="18">
        <f>HYPERLINK("D:\python\英语学习\voices\"&amp;B1461&amp;"_1.mp3","BrE")</f>
        <v/>
      </c>
      <c r="H1461" s="18">
        <f>HYPERLINK("D:\python\英语学习\voices\"&amp;B1461&amp;"_2.mp3","AmE")</f>
        <v/>
      </c>
      <c r="I1461" s="18">
        <f>HYPERLINK("http://dict.youdao.com/w/"&amp;B1461,"有道")</f>
        <v/>
      </c>
    </row>
    <row customHeight="1" ht="85.5" r="1462">
      <c r="B1462" s="1" t="inlineStr">
        <is>
          <t>prime</t>
        </is>
      </c>
      <c r="C1462" s="7">
        <f>"adj. 主要的；最好的；基本的"&amp;CHAR(10)&amp;"adv. 极好地"&amp;CHAR(10)&amp;"n. 初期；青年；精华；全盛时期"&amp;CHAR(10)&amp;"vt. 使准备好；填装"&amp;CHAR(10)&amp;"vi. 作准备"&amp;CHAR(10)&amp;"n. (Prime)人名；(英)普赖姆；(德)普里梅"</f>
        <v/>
      </c>
      <c r="E1462" s="6" t="inlineStr">
        <is>
          <t>in one's prime</t>
        </is>
      </c>
      <c r="G1462" s="18">
        <f>HYPERLINK("D:\python\英语学习\voices\"&amp;B1462&amp;"_1.mp3","BrE")</f>
        <v/>
      </c>
      <c r="H1462" s="18">
        <f>HYPERLINK("D:\python\英语学习\voices\"&amp;B1462&amp;"_2.mp3","AmE")</f>
        <v/>
      </c>
      <c r="I1462" s="18">
        <f>HYPERLINK("http://dict.youdao.com/w/"&amp;B1462,"有道")</f>
        <v/>
      </c>
    </row>
    <row r="1463">
      <c r="B1463" s="1" t="inlineStr">
        <is>
          <t>primer</t>
        </is>
      </c>
      <c r="C1463" s="7">
        <f>"n. 初级读本；识字课本；原始物"</f>
        <v/>
      </c>
      <c r="G1463" s="18">
        <f>HYPERLINK("D:\python\英语学习\voices\"&amp;B1463&amp;"_1.mp3","BrE")</f>
        <v/>
      </c>
      <c r="H1463" s="18">
        <f>HYPERLINK("D:\python\英语学习\voices\"&amp;B1463&amp;"_2.mp3","AmE")</f>
        <v/>
      </c>
      <c r="I1463" s="18">
        <f>HYPERLINK("http://dict.youdao.com/w/"&amp;B1463,"有道")</f>
        <v/>
      </c>
    </row>
    <row r="1464">
      <c r="B1464" s="1" t="inlineStr">
        <is>
          <t>principally</t>
        </is>
      </c>
      <c r="C1464" s="7">
        <f>"adv. 主要地；大部分"</f>
        <v/>
      </c>
      <c r="E1464" s="6" t="inlineStr">
        <is>
          <t>注意释义</t>
        </is>
      </c>
      <c r="G1464" s="18">
        <f>HYPERLINK("D:\python\英语学习\voices\"&amp;B1464&amp;"_1.mp3","BrE")</f>
        <v/>
      </c>
      <c r="H1464" s="18">
        <f>HYPERLINK("D:\python\英语学习\voices\"&amp;B1464&amp;"_2.mp3","AmE")</f>
        <v/>
      </c>
      <c r="I1464" s="18">
        <f>HYPERLINK("http://dict.youdao.com/w/"&amp;B1464,"有道")</f>
        <v/>
      </c>
    </row>
    <row r="1465">
      <c r="B1465" s="1" t="inlineStr">
        <is>
          <t>privatize</t>
        </is>
      </c>
      <c r="C1465" s="7">
        <f>"vt. 使私有化；使归私有"</f>
        <v/>
      </c>
      <c r="G1465" s="18">
        <f>HYPERLINK("D:\python\英语学习\voices\"&amp;B1465&amp;"_1.mp3","BrE")</f>
        <v/>
      </c>
      <c r="H1465" s="18">
        <f>HYPERLINK("D:\python\英语学习\voices\"&amp;B1465&amp;"_2.mp3","AmE")</f>
        <v/>
      </c>
      <c r="I1465" s="18">
        <f>HYPERLINK("http://dict.youdao.com/w/"&amp;B1465,"有道")</f>
        <v/>
      </c>
    </row>
    <row customHeight="1" ht="57" r="1466">
      <c r="B1466" s="1" t="inlineStr">
        <is>
          <t>pro</t>
        </is>
      </c>
      <c r="C1466" s="7">
        <f>"adv. 赞成地"&amp;CHAR(10)&amp;"n. 赞成者；赞成的意见"&amp;CHAR(10)&amp;"prep. 赞成"&amp;CHAR(10)&amp;"n. (Pro)人名；(意)普罗"</f>
        <v/>
      </c>
      <c r="G1466" s="18">
        <f>HYPERLINK("D:\python\英语学习\voices\"&amp;B1466&amp;"_1.mp3","BrE")</f>
        <v/>
      </c>
      <c r="H1466" s="18">
        <f>HYPERLINK("D:\python\英语学习\voices\"&amp;B1466&amp;"_2.mp3","AmE")</f>
        <v/>
      </c>
      <c r="I1466" s="18">
        <f>HYPERLINK("http://dict.youdao.com/w/"&amp;B1466,"有道")</f>
        <v/>
      </c>
    </row>
    <row customHeight="1" ht="57" r="1467">
      <c r="B1467" s="1" t="inlineStr">
        <is>
          <t>probe</t>
        </is>
      </c>
      <c r="C1467" s="7">
        <f>"n. 探针；调查"&amp;CHAR(10)&amp;"vi. 调查；探测"&amp;CHAR(10)&amp;"vt. 探查；用探针探测"&amp;CHAR(10)&amp;"n. (Probe)人名；(法)普罗布"</f>
        <v/>
      </c>
      <c r="G1467" s="18">
        <f>HYPERLINK("D:\python\英语学习\voices\"&amp;B1467&amp;"_1.mp3","BrE")</f>
        <v/>
      </c>
      <c r="H1467" s="18">
        <f>HYPERLINK("D:\python\英语学习\voices\"&amp;B1467&amp;"_2.mp3","AmE")</f>
        <v/>
      </c>
      <c r="I1467" s="18">
        <f>HYPERLINK("http://dict.youdao.com/w/"&amp;B1467,"有道")</f>
        <v/>
      </c>
    </row>
    <row customHeight="1" ht="28.5" r="1468">
      <c r="B1468" s="1" t="inlineStr">
        <is>
          <t>proceed</t>
        </is>
      </c>
      <c r="C1468" s="7">
        <f>"vi. 开始；继续进行；发生；行进"&amp;CHAR(10)&amp;"n. 收入，获利"</f>
        <v/>
      </c>
      <c r="G1468" s="18">
        <f>HYPERLINK("D:\python\英语学习\voices\"&amp;B1468&amp;"_1.mp3","BrE")</f>
        <v/>
      </c>
      <c r="H1468" s="18">
        <f>HYPERLINK("D:\python\英语学习\voices\"&amp;B1468&amp;"_2.mp3","AmE")</f>
        <v/>
      </c>
      <c r="I1468" s="18">
        <f>HYPERLINK("http://dict.youdao.com/w/"&amp;B1468,"有道")</f>
        <v/>
      </c>
    </row>
    <row customHeight="1" ht="28.5" r="1469">
      <c r="B1469" s="1" t="inlineStr">
        <is>
          <t>proceeding</t>
        </is>
      </c>
      <c r="C1469" s="7">
        <f>"n. 进行；程序；诉讼；事项"&amp;CHAR(10)&amp;"v. 开始；继续做；行进（proceed的ing形式）"</f>
        <v/>
      </c>
      <c r="G1469" s="18">
        <f>HYPERLINK("D:\python\英语学习\voices\"&amp;B1469&amp;"_1.mp3","BrE")</f>
        <v/>
      </c>
      <c r="H1469" s="18">
        <f>HYPERLINK("D:\python\英语学习\voices\"&amp;B1469&amp;"_2.mp3","AmE")</f>
        <v/>
      </c>
      <c r="I1469" s="18">
        <f>HYPERLINK("http://dict.youdao.com/w/"&amp;B1469,"有道")</f>
        <v/>
      </c>
    </row>
    <row r="1470">
      <c r="B1470" s="1" t="inlineStr">
        <is>
          <t>procurement</t>
        </is>
      </c>
      <c r="C1470" s="7">
        <f>"n. 采购；获得，取得"</f>
        <v/>
      </c>
      <c r="G1470" s="18">
        <f>HYPERLINK("D:\python\英语学习\voices\"&amp;B1470&amp;"_1.mp3","BrE")</f>
        <v/>
      </c>
      <c r="H1470" s="18">
        <f>HYPERLINK("D:\python\英语学习\voices\"&amp;B1470&amp;"_2.mp3","AmE")</f>
        <v/>
      </c>
      <c r="I1470" s="18">
        <f>HYPERLINK("http://dict.youdao.com/w/"&amp;B1470,"有道")</f>
        <v/>
      </c>
    </row>
    <row r="1471">
      <c r="B1471" s="1" t="inlineStr">
        <is>
          <t>productivity</t>
        </is>
      </c>
      <c r="C1471" s="7">
        <f>"n. 生产力；生产率；生产能力"</f>
        <v/>
      </c>
      <c r="G1471" s="18">
        <f>HYPERLINK("D:\python\英语学习\voices\"&amp;B1471&amp;"_1.mp3","BrE")</f>
        <v/>
      </c>
      <c r="H1471" s="18">
        <f>HYPERLINK("D:\python\英语学习\voices\"&amp;B1471&amp;"_2.mp3","AmE")</f>
        <v/>
      </c>
      <c r="I1471" s="18">
        <f>HYPERLINK("http://dict.youdao.com/w/"&amp;B1471,"有道")</f>
        <v/>
      </c>
    </row>
    <row r="1472">
      <c r="B1472" s="1" t="inlineStr">
        <is>
          <t>proficiency</t>
        </is>
      </c>
      <c r="C1472" s="7">
        <f>"n. 精通，熟练"</f>
        <v/>
      </c>
      <c r="G1472" s="18">
        <f>HYPERLINK("D:\python\英语学习\voices\"&amp;B1472&amp;"_1.mp3","BrE")</f>
        <v/>
      </c>
      <c r="H1472" s="18">
        <f>HYPERLINK("D:\python\英语学习\voices\"&amp;B1472&amp;"_2.mp3","AmE")</f>
        <v/>
      </c>
      <c r="I1472" s="18">
        <f>HYPERLINK("http://dict.youdao.com/w/"&amp;B1472,"有道")</f>
        <v/>
      </c>
    </row>
    <row r="1473">
      <c r="B1473" s="1" t="inlineStr">
        <is>
          <t>progressively</t>
        </is>
      </c>
      <c r="C1473" s="7">
        <f>"adv. 渐进地；日益增多地"</f>
        <v/>
      </c>
      <c r="G1473" s="18">
        <f>HYPERLINK("D:\python\英语学习\voices\"&amp;B1473&amp;"_1.mp3","BrE")</f>
        <v/>
      </c>
      <c r="H1473" s="18">
        <f>HYPERLINK("D:\python\英语学习\voices\"&amp;B1473&amp;"_2.mp3","AmE")</f>
        <v/>
      </c>
      <c r="I1473" s="18">
        <f>HYPERLINK("http://dict.youdao.com/w/"&amp;B1473,"有道")</f>
        <v/>
      </c>
    </row>
    <row customHeight="1" ht="28.5" r="1474">
      <c r="B1474" s="1" t="inlineStr">
        <is>
          <t>projector</t>
        </is>
      </c>
      <c r="C1474" s="7">
        <f>"n. [仪] 投影仪；放映机；探照灯；设计者"&amp;CHAR(10)&amp;"n. (Projector)人名；(英)普罗杰克特"</f>
        <v/>
      </c>
      <c r="G1474" s="18">
        <f>HYPERLINK("D:\python\英语学习\voices\"&amp;B1474&amp;"_1.mp3","BrE")</f>
        <v/>
      </c>
      <c r="H1474" s="18">
        <f>HYPERLINK("D:\python\英语学习\voices\"&amp;B1474&amp;"_2.mp3","AmE")</f>
        <v/>
      </c>
      <c r="I1474" s="18">
        <f>HYPERLINK("http://dict.youdao.com/w/"&amp;B1474,"有道")</f>
        <v/>
      </c>
    </row>
    <row r="1475">
      <c r="A1475" t="inlineStr">
        <is>
          <t>practice</t>
        </is>
      </c>
      <c r="B1475" s="1" t="inlineStr">
        <is>
          <t>disparity</t>
        </is>
      </c>
      <c r="C1475" s="7">
        <f>"n. 不同；不一致；不等"</f>
        <v/>
      </c>
      <c r="E1475" t="inlineStr">
        <is>
          <t>a difference, especially one connected with unfair treatment</t>
        </is>
      </c>
      <c r="F1475">
        <f>"Her parents are concerned about her relationship with a man of such a disparity of age and experience.
她的父母关心她与一位年龄和经验悬殊的男子来往。"</f>
        <v/>
      </c>
      <c r="G1475" s="18">
        <f>HYPERLINK("D:\python\英语学习\voices\"&amp;B1475&amp;"_1.mp3","BrE")</f>
        <v/>
      </c>
      <c r="H1475" s="18">
        <f>HYPERLINK("D:\python\英语学习\voices\"&amp;B1475&amp;"_2.mp3","AmE")</f>
        <v/>
      </c>
      <c r="I1475" s="18">
        <f>HYPERLINK("http://dict.youdao.com/w/"&amp;B1475,"有道")</f>
        <v/>
      </c>
    </row>
    <row r="1476">
      <c r="B1476" s="1" t="inlineStr">
        <is>
          <t>prolong</t>
        </is>
      </c>
      <c r="C1476" s="7">
        <f>"vt. 延长；拖延"</f>
        <v/>
      </c>
      <c r="G1476" s="18">
        <f>HYPERLINK("D:\python\英语学习\voices\"&amp;B1476&amp;"_1.mp3","BrE")</f>
        <v/>
      </c>
      <c r="H1476" s="18">
        <f>HYPERLINK("D:\python\英语学习\voices\"&amp;B1476&amp;"_2.mp3","AmE")</f>
        <v/>
      </c>
      <c r="I1476" s="18">
        <f>HYPERLINK("http://dict.youdao.com/w/"&amp;B1476,"有道")</f>
        <v/>
      </c>
    </row>
    <row customHeight="1" ht="71.25" r="1477">
      <c r="B1477" s="1" t="inlineStr">
        <is>
          <t>prominence</t>
        </is>
      </c>
      <c r="C1477" s="7">
        <f>"n. 突出；显著；突出物；卓越"</f>
        <v/>
      </c>
      <c r="E1477" s="7" t="inlineStr">
        <is>
          <t>注意拼写ence
come into prominence
solar prominence 日珥</t>
        </is>
      </c>
      <c r="G1477" s="18">
        <f>HYPERLINK("D:\python\英语学习\voices\"&amp;B1477&amp;"_1.mp3","BrE")</f>
        <v/>
      </c>
      <c r="H1477" s="18">
        <f>HYPERLINK("D:\python\英语学习\voices\"&amp;B1477&amp;"_2.mp3","AmE")</f>
        <v/>
      </c>
      <c r="I1477" s="18">
        <f>HYPERLINK("http://dict.youdao.com/w/"&amp;B1477,"有道")</f>
        <v/>
      </c>
    </row>
    <row customHeight="1" ht="28.5" r="1478">
      <c r="B1478" s="1" t="inlineStr">
        <is>
          <t>promising</t>
        </is>
      </c>
      <c r="C1478" s="7">
        <f>"adj. 有希望的，有前途的"&amp;CHAR(10)&amp;"v. 许诺，答应（promise的现在分词形式）"</f>
        <v/>
      </c>
      <c r="G1478" s="18">
        <f>HYPERLINK("D:\python\英语学习\voices\"&amp;B1478&amp;"_1.mp3","BrE")</f>
        <v/>
      </c>
      <c r="H1478" s="18">
        <f>HYPERLINK("D:\python\英语学习\voices\"&amp;B1478&amp;"_2.mp3","AmE")</f>
        <v/>
      </c>
      <c r="I1478" s="18">
        <f>HYPERLINK("http://dict.youdao.com/w/"&amp;B1478,"有道")</f>
        <v/>
      </c>
    </row>
    <row customHeight="1" ht="71.25" r="1479">
      <c r="B1479" s="1" t="inlineStr">
        <is>
          <t>prompt</t>
        </is>
      </c>
      <c r="C1479" s="7">
        <f>"adj. 敏捷的，迅速的；立刻的"&amp;CHAR(10)&amp;"vt. 提示；促进；激起；（给演员）提白"&amp;CHAR(10)&amp;"n. 提示；付款期限；DOS命令：改变DOS系统提示符的风格"&amp;CHAR(10)&amp;"adv. 准时地"</f>
        <v/>
      </c>
      <c r="G1479" s="18">
        <f>HYPERLINK("D:\python\英语学习\voices\"&amp;B1479&amp;"_1.mp3","BrE")</f>
        <v/>
      </c>
      <c r="H1479" s="18">
        <f>HYPERLINK("D:\python\英语学习\voices\"&amp;B1479&amp;"_2.mp3","AmE")</f>
        <v/>
      </c>
      <c r="I1479" s="18">
        <f>HYPERLINK("http://dict.youdao.com/w/"&amp;B1479,"有道")</f>
        <v/>
      </c>
    </row>
    <row r="1480">
      <c r="B1480" s="1" t="inlineStr">
        <is>
          <t>promptly</t>
        </is>
      </c>
      <c r="C1480" s="7">
        <f>"adv. 迅速地；立即地；敏捷地"</f>
        <v/>
      </c>
      <c r="G1480" s="18">
        <f>HYPERLINK("D:\python\英语学习\voices\"&amp;B1480&amp;"_1.mp3","BrE")</f>
        <v/>
      </c>
      <c r="H1480" s="18">
        <f>HYPERLINK("D:\python\英语学习\voices\"&amp;B1480&amp;"_2.mp3","AmE")</f>
        <v/>
      </c>
      <c r="I1480" s="18">
        <f>HYPERLINK("http://dict.youdao.com/w/"&amp;B1480,"有道")</f>
        <v/>
      </c>
    </row>
    <row r="1481">
      <c r="A1481" s="1" t="inlineStr">
        <is>
          <t>unnecessary</t>
        </is>
      </c>
      <c r="B1481" s="1" t="inlineStr">
        <is>
          <t>pronucleus</t>
        </is>
      </c>
      <c r="C1481" s="7">
        <f>"n. [生物] 原核；[遗] 前核"</f>
        <v/>
      </c>
      <c r="G1481" s="18">
        <f>HYPERLINK("D:\python\英语学习\voices\"&amp;B1481&amp;"_1.mp3","BrE")</f>
        <v/>
      </c>
      <c r="H1481" s="18">
        <f>HYPERLINK("D:\python\英语学习\voices\"&amp;B1481&amp;"_2.mp3","AmE")</f>
        <v/>
      </c>
      <c r="I1481" s="18">
        <f>HYPERLINK("http://dict.youdao.com/w/"&amp;B1481,"有道")</f>
        <v/>
      </c>
    </row>
    <row r="1482">
      <c r="B1482" s="1" t="inlineStr">
        <is>
          <t>propaganda</t>
        </is>
      </c>
      <c r="C1482" s="7">
        <f>"n. 宣传；传道总会"</f>
        <v/>
      </c>
      <c r="E1482" t="inlineStr">
        <is>
          <t>此宣传是鼓吹/政治向宣传，不是普通的宣传</t>
        </is>
      </c>
      <c r="G1482" s="18">
        <f>HYPERLINK("D:\python\英语学习\voices\"&amp;B1482&amp;"_1.mp3","BrE")</f>
        <v/>
      </c>
      <c r="H1482" s="18">
        <f>HYPERLINK("D:\python\英语学习\voices\"&amp;B1482&amp;"_2.mp3","AmE")</f>
        <v/>
      </c>
      <c r="I1482" s="18">
        <f>HYPERLINK("http://dict.youdao.com/w/"&amp;B1482,"有道")</f>
        <v/>
      </c>
    </row>
    <row customHeight="1" ht="28.5" r="1483">
      <c r="B1483" s="1" t="inlineStr">
        <is>
          <t>propagate</t>
        </is>
      </c>
      <c r="C1483" s="7">
        <f>"vt. 传播；传送；繁殖；宣传"&amp;CHAR(10)&amp;"vi. 繁殖；增殖"</f>
        <v/>
      </c>
      <c r="G1483" s="18">
        <f>HYPERLINK("D:\python\英语学习\voices\"&amp;B1483&amp;"_1.mp3","BrE")</f>
        <v/>
      </c>
      <c r="H1483" s="18">
        <f>HYPERLINK("D:\python\英语学习\voices\"&amp;B1483&amp;"_2.mp3","AmE")</f>
        <v/>
      </c>
      <c r="I1483" s="18">
        <f>HYPERLINK("http://dict.youdao.com/w/"&amp;B1483,"有道")</f>
        <v/>
      </c>
    </row>
    <row r="1484">
      <c r="B1484" s="1" t="inlineStr">
        <is>
          <t>propel</t>
        </is>
      </c>
      <c r="C1484" s="7">
        <f>"vt. 推进；驱使；激励；驱策"</f>
        <v/>
      </c>
      <c r="G1484" s="18">
        <f>HYPERLINK("D:\python\英语学习\voices\"&amp;B1484&amp;"_1.mp3","BrE")</f>
        <v/>
      </c>
      <c r="H1484" s="18">
        <f>HYPERLINK("D:\python\英语学习\voices\"&amp;B1484&amp;"_2.mp3","AmE")</f>
        <v/>
      </c>
      <c r="I1484" s="18">
        <f>HYPERLINK("http://dict.youdao.com/w/"&amp;B1484,"有道")</f>
        <v/>
      </c>
    </row>
    <row r="1485">
      <c r="B1485" s="1" t="inlineStr">
        <is>
          <t>propeller</t>
        </is>
      </c>
      <c r="C1485" s="7">
        <f>"n. [航][船] 螺旋桨；推进器"</f>
        <v/>
      </c>
      <c r="G1485" s="18">
        <f>HYPERLINK("D:\python\英语学习\voices\"&amp;B1485&amp;"_1.mp3","BrE")</f>
        <v/>
      </c>
      <c r="H1485" s="18">
        <f>HYPERLINK("D:\python\英语学习\voices\"&amp;B1485&amp;"_2.mp3","AmE")</f>
        <v/>
      </c>
      <c r="I1485" s="18">
        <f>HYPERLINK("http://dict.youdao.com/w/"&amp;B1485,"有道")</f>
        <v/>
      </c>
    </row>
    <row r="1486">
      <c r="B1486" s="1" t="inlineStr">
        <is>
          <t>prophecy</t>
        </is>
      </c>
      <c r="C1486" s="7">
        <f>"n. 预言；预言书；预言能力"</f>
        <v/>
      </c>
      <c r="G1486" s="18">
        <f>HYPERLINK("D:\python\英语学习\voices\"&amp;B1486&amp;"_1.mp3","BrE")</f>
        <v/>
      </c>
      <c r="H1486" s="18">
        <f>HYPERLINK("D:\python\英语学习\voices\"&amp;B1486&amp;"_2.mp3","AmE")</f>
        <v/>
      </c>
      <c r="I1486" s="18">
        <f>HYPERLINK("http://dict.youdao.com/w/"&amp;B1486,"有道")</f>
        <v/>
      </c>
    </row>
    <row customHeight="1" ht="28.5" r="1487">
      <c r="B1487" s="1" t="inlineStr">
        <is>
          <t>proportional</t>
        </is>
      </c>
      <c r="C1487" s="7">
        <f>"adj. 比例的，成比例的；相称的，均衡的"&amp;CHAR(10)&amp;"n. [数] 比例项"</f>
        <v/>
      </c>
      <c r="G1487" s="18">
        <f>HYPERLINK("D:\python\英语学习\voices\"&amp;B1487&amp;"_1.mp3","BrE")</f>
        <v/>
      </c>
      <c r="H1487" s="18">
        <f>HYPERLINK("D:\python\英语学习\voices\"&amp;B1487&amp;"_2.mp3","AmE")</f>
        <v/>
      </c>
      <c r="I1487" s="18">
        <f>HYPERLINK("http://dict.youdao.com/w/"&amp;B1487,"有道")</f>
        <v/>
      </c>
    </row>
    <row customHeight="1" ht="28.5" r="1488">
      <c r="B1488" s="1" t="inlineStr">
        <is>
          <t>proposition</t>
        </is>
      </c>
      <c r="C1488" s="7">
        <f>"n. [数] 命题；提议；主题；议题"&amp;CHAR(10)&amp;"vt. 向…提议；向…求欢"</f>
        <v/>
      </c>
      <c r="G1488" s="18">
        <f>HYPERLINK("D:\python\英语学习\voices\"&amp;B1488&amp;"_1.mp3","BrE")</f>
        <v/>
      </c>
      <c r="H1488" s="18">
        <f>HYPERLINK("D:\python\英语学习\voices\"&amp;B1488&amp;"_2.mp3","AmE")</f>
        <v/>
      </c>
      <c r="I1488" s="18">
        <f>HYPERLINK("http://dict.youdao.com/w/"&amp;B1488,"有道")</f>
        <v/>
      </c>
    </row>
    <row customHeight="1" ht="28.5" r="1489">
      <c r="B1489" s="1" t="inlineStr">
        <is>
          <t>proprietary</t>
        </is>
      </c>
      <c r="C1489" s="7">
        <f>"n. 所有权；所有人"&amp;CHAR(10)&amp;"adj. 所有的；专利的；私人拥有的"</f>
        <v/>
      </c>
      <c r="E1489" s="16" t="inlineStr">
        <is>
          <t>注意发音-重音第二个p</t>
        </is>
      </c>
      <c r="G1489" s="18">
        <f>HYPERLINK("D:\python\英语学习\voices\"&amp;B1489&amp;"_1.mp3","BrE")</f>
        <v/>
      </c>
      <c r="H1489" s="18">
        <f>HYPERLINK("D:\python\英语学习\voices\"&amp;B1489&amp;"_2.mp3","AmE")</f>
        <v/>
      </c>
      <c r="I1489" s="18">
        <f>HYPERLINK("http://dict.youdao.com/w/"&amp;B1489,"有道")</f>
        <v/>
      </c>
    </row>
    <row customHeight="1" ht="28.5" r="1490">
      <c r="A1490" s="1" t="inlineStr">
        <is>
          <t>practice</t>
        </is>
      </c>
      <c r="B1490" s="1" t="inlineStr">
        <is>
          <t>drastic</t>
        </is>
      </c>
      <c r="C1490" s="7">
        <f>"adj. 激烈的；猛烈的"&amp;CHAR(10)&amp;"n. 烈性泻药"</f>
        <v/>
      </c>
      <c r="G1490" s="18">
        <f>HYPERLINK("D:\python\英语学习\voices\"&amp;B1490&amp;"_1.mp3","BrE")</f>
        <v/>
      </c>
      <c r="H1490" s="18">
        <f>HYPERLINK("D:\python\英语学习\voices\"&amp;B1490&amp;"_2.mp3","AmE")</f>
        <v/>
      </c>
      <c r="I1490" s="18">
        <f>HYPERLINK("http://dict.youdao.com/w/"&amp;B1490,"有道")</f>
        <v/>
      </c>
    </row>
    <row r="1491">
      <c r="B1491" s="1" t="inlineStr">
        <is>
          <t>propulsion</t>
        </is>
      </c>
      <c r="C1491" s="7">
        <f>"n. 推进；推进力"</f>
        <v/>
      </c>
      <c r="G1491" s="18">
        <f>HYPERLINK("D:\python\英语学习\voices\"&amp;B1491&amp;"_1.mp3","BrE")</f>
        <v/>
      </c>
      <c r="H1491" s="18">
        <f>HYPERLINK("D:\python\英语学习\voices\"&amp;B1491&amp;"_2.mp3","AmE")</f>
        <v/>
      </c>
      <c r="I1491" s="18">
        <f>HYPERLINK("http://dict.youdao.com/w/"&amp;B1491,"有道")</f>
        <v/>
      </c>
    </row>
    <row r="1492">
      <c r="A1492" t="inlineStr">
        <is>
          <t>unnecessary</t>
        </is>
      </c>
      <c r="B1492" s="1" t="inlineStr">
        <is>
          <t>prosodic</t>
        </is>
      </c>
      <c r="C1492" s="7">
        <f>"adj. 诗体学的；作诗法的；韵律学的"</f>
        <v/>
      </c>
      <c r="G1492" s="18">
        <f>HYPERLINK("D:\python\英语学习\voices\"&amp;B1492&amp;"_1.mp3","BrE")</f>
        <v/>
      </c>
      <c r="H1492" s="18">
        <f>HYPERLINK("D:\python\英语学习\voices\"&amp;B1492&amp;"_2.mp3","AmE")</f>
        <v/>
      </c>
      <c r="I1492" s="18">
        <f>HYPERLINK("http://dict.youdao.com/w/"&amp;B1492,"有道")</f>
        <v/>
      </c>
    </row>
    <row customHeight="1" ht="42.75" r="1493">
      <c r="B1493" s="1" t="inlineStr">
        <is>
          <t>prospect</t>
        </is>
      </c>
      <c r="C1493" s="7">
        <f>"n. 前途；预期；景色"&amp;CHAR(10)&amp;"vi. 勘探，找矿"&amp;CHAR(10)&amp;"vt. 勘探，勘察"</f>
        <v/>
      </c>
      <c r="G1493" s="18">
        <f>HYPERLINK("D:\python\英语学习\voices\"&amp;B1493&amp;"_1.mp3","BrE")</f>
        <v/>
      </c>
      <c r="H1493" s="18">
        <f>HYPERLINK("D:\python\英语学习\voices\"&amp;B1493&amp;"_2.mp3","AmE")</f>
        <v/>
      </c>
      <c r="I1493" s="18">
        <f>HYPERLINK("http://dict.youdao.com/w/"&amp;B1493,"有道")</f>
        <v/>
      </c>
    </row>
    <row customHeight="1" ht="28.5" r="1494">
      <c r="B1494" s="1" t="inlineStr">
        <is>
          <t>prospectus</t>
        </is>
      </c>
      <c r="C1494" s="7">
        <f>"n. 内容说明书；样张；创办计划书；学校的入学简介"</f>
        <v/>
      </c>
      <c r="G1494" s="18">
        <f>HYPERLINK("D:\python\英语学习\voices\"&amp;B1494&amp;"_1.mp3","BrE")</f>
        <v/>
      </c>
      <c r="H1494" s="18">
        <f>HYPERLINK("D:\python\英语学习\voices\"&amp;B1494&amp;"_2.mp3","AmE")</f>
        <v/>
      </c>
      <c r="I1494" s="18">
        <f>HYPERLINK("http://dict.youdao.com/w/"&amp;B1494,"有道")</f>
        <v/>
      </c>
    </row>
    <row customHeight="1" ht="42.75" r="1495">
      <c r="B1495" s="1" t="inlineStr">
        <is>
          <t>prosper</t>
        </is>
      </c>
      <c r="C1495" s="7">
        <f>"vi. 繁荣，昌盛；成功"&amp;CHAR(10)&amp;"vt. 使……成功；使……昌盛；使……繁荣"&amp;CHAR(10)&amp;"n. (Prosper)人名；(英、德、罗、法)普罗斯珀"</f>
        <v/>
      </c>
      <c r="G1495" s="18">
        <f>HYPERLINK("D:\python\英语学习\voices\"&amp;B1495&amp;"_1.mp3","BrE")</f>
        <v/>
      </c>
      <c r="H1495" s="18">
        <f>HYPERLINK("D:\python\英语学习\voices\"&amp;B1495&amp;"_2.mp3","AmE")</f>
        <v/>
      </c>
      <c r="I1495" s="18">
        <f>HYPERLINK("http://dict.youdao.com/w/"&amp;B1495,"有道")</f>
        <v/>
      </c>
    </row>
    <row r="1496">
      <c r="B1496" s="1" t="inlineStr">
        <is>
          <t>protagonist</t>
        </is>
      </c>
      <c r="C1496" s="7">
        <f>"n. 主角，主演；主要人物，领导者"</f>
        <v/>
      </c>
      <c r="G1496" s="18">
        <f>HYPERLINK("D:\python\英语学习\voices\"&amp;B1496&amp;"_1.mp3","BrE")</f>
        <v/>
      </c>
      <c r="H1496" s="18">
        <f>HYPERLINK("D:\python\英语学习\voices\"&amp;B1496&amp;"_2.mp3","AmE")</f>
        <v/>
      </c>
      <c r="I1496" s="18">
        <f>HYPERLINK("http://dict.youdao.com/w/"&amp;B1496,"有道")</f>
        <v/>
      </c>
    </row>
    <row r="1497">
      <c r="B1497" s="1" t="inlineStr">
        <is>
          <t>proverb</t>
        </is>
      </c>
      <c r="C1497" s="7">
        <f>"n. 谚语，格言；众所周知的人或事"</f>
        <v/>
      </c>
      <c r="G1497" s="18">
        <f>HYPERLINK("D:\python\英语学习\voices\"&amp;B1497&amp;"_1.mp3","BrE")</f>
        <v/>
      </c>
      <c r="H1497" s="18">
        <f>HYPERLINK("D:\python\英语学习\voices\"&amp;B1497&amp;"_2.mp3","AmE")</f>
        <v/>
      </c>
      <c r="I1497" s="18">
        <f>HYPERLINK("http://dict.youdao.com/w/"&amp;B1497,"有道")</f>
        <v/>
      </c>
    </row>
    <row customHeight="1" ht="28.5" r="1498">
      <c r="B1498" s="1" t="inlineStr">
        <is>
          <t>provided</t>
        </is>
      </c>
      <c r="C1498" s="7">
        <f>"conj. 假如；倘若"&amp;CHAR(10)&amp;"v. 提供；给予（provide的过去式）"</f>
        <v/>
      </c>
      <c r="G1498" s="18">
        <f>HYPERLINK("D:\python\英语学习\voices\"&amp;B1498&amp;"_1.mp3","BrE")</f>
        <v/>
      </c>
      <c r="H1498" s="18">
        <f>HYPERLINK("D:\python\英语学习\voices\"&amp;B1498&amp;"_2.mp3","AmE")</f>
        <v/>
      </c>
      <c r="I1498" s="18">
        <f>HYPERLINK("http://dict.youdao.com/w/"&amp;B1498,"有道")</f>
        <v/>
      </c>
    </row>
    <row customHeight="1" ht="28.5" r="1499">
      <c r="A1499" t="inlineStr">
        <is>
          <t>practice</t>
        </is>
      </c>
      <c r="B1499" s="1" t="inlineStr">
        <is>
          <t>dwindle</t>
        </is>
      </c>
      <c r="C1499" s="7">
        <f>"vi. 减少；变小"&amp;CHAR(10)&amp;"vt. 使缩小，使减少"</f>
        <v/>
      </c>
      <c r="G1499" s="18">
        <f>HYPERLINK("D:\python\英语学习\voices\"&amp;B1499&amp;"_1.mp3","BrE")</f>
        <v/>
      </c>
      <c r="H1499" s="18">
        <f>HYPERLINK("D:\python\英语学习\voices\"&amp;B1499&amp;"_2.mp3","AmE")</f>
        <v/>
      </c>
      <c r="I1499" s="18">
        <f>HYPERLINK("http://dict.youdao.com/w/"&amp;B1499,"有道")</f>
        <v/>
      </c>
    </row>
    <row r="1500">
      <c r="B1500" s="1" t="inlineStr">
        <is>
          <t>proxy</t>
        </is>
      </c>
      <c r="C1500" s="7">
        <f>"n. 代理人；委托书；代用品"</f>
        <v/>
      </c>
      <c r="G1500" s="18">
        <f>HYPERLINK("D:\python\英语学习\voices\"&amp;B1500&amp;"_1.mp3","BrE")</f>
        <v/>
      </c>
      <c r="H1500" s="18">
        <f>HYPERLINK("D:\python\英语学习\voices\"&amp;B1500&amp;"_2.mp3","AmE")</f>
        <v/>
      </c>
      <c r="I1500" s="18">
        <f>HYPERLINK("http://dict.youdao.com/w/"&amp;B1500,"有道")</f>
        <v/>
      </c>
    </row>
    <row customHeight="1" ht="28.5" r="1501">
      <c r="A1501" s="1" t="inlineStr">
        <is>
          <t>practice</t>
        </is>
      </c>
      <c r="B1501" s="1" t="inlineStr">
        <is>
          <t>ebb</t>
        </is>
      </c>
      <c r="C1501" s="7">
        <f>"n. 衰退；退潮；衰落"&amp;CHAR(10)&amp;"vi. 衰退；减少；衰落；潮退"</f>
        <v/>
      </c>
      <c r="E1501" s="6" t="inlineStr">
        <is>
          <t>at one's lowest ebb</t>
        </is>
      </c>
      <c r="G1501" s="18">
        <f>HYPERLINK("D:\python\英语学习\voices\"&amp;B1501&amp;"_1.mp3","BrE")</f>
        <v/>
      </c>
      <c r="H1501" s="18">
        <f>HYPERLINK("D:\python\英语学习\voices\"&amp;B1501&amp;"_2.mp3","AmE")</f>
        <v/>
      </c>
      <c r="I1501" s="18">
        <f>HYPERLINK("http://dict.youdao.com/w/"&amp;B1501,"有道")</f>
        <v/>
      </c>
    </row>
    <row r="1502">
      <c r="B1502" s="1" t="inlineStr">
        <is>
          <t>psychiatry</t>
        </is>
      </c>
      <c r="C1502" s="7">
        <f>"n. 精神病学；精神病治疗法"</f>
        <v/>
      </c>
      <c r="G1502" s="18">
        <f>HYPERLINK("D:\python\英语学习\voices\"&amp;B1502&amp;"_1.mp3","BrE")</f>
        <v/>
      </c>
      <c r="H1502" s="18">
        <f>HYPERLINK("D:\python\英语学习\voices\"&amp;B1502&amp;"_2.mp3","AmE")</f>
        <v/>
      </c>
      <c r="I1502" s="18">
        <f>HYPERLINK("http://dict.youdao.com/w/"&amp;B1502,"有道")</f>
        <v/>
      </c>
    </row>
    <row r="1503">
      <c r="B1503" s="1" t="inlineStr">
        <is>
          <t>psychologist</t>
        </is>
      </c>
      <c r="C1503" s="7">
        <f>"n. 心理学家，心理学者"</f>
        <v/>
      </c>
      <c r="G1503" s="18">
        <f>HYPERLINK("D:\python\英语学习\voices\"&amp;B1503&amp;"_1.mp3","BrE")</f>
        <v/>
      </c>
      <c r="H1503" s="18">
        <f>HYPERLINK("D:\python\英语学习\voices\"&amp;B1503&amp;"_2.mp3","AmE")</f>
        <v/>
      </c>
      <c r="I1503" s="18">
        <f>HYPERLINK("http://dict.youdao.com/w/"&amp;B1503,"有道")</f>
        <v/>
      </c>
    </row>
    <row customHeight="1" ht="71.25" r="1504">
      <c r="B1504" s="1" t="inlineStr">
        <is>
          <t>puff</t>
        </is>
      </c>
      <c r="C1504" s="7">
        <f>"vt. 喷出，张开；使膨胀；夸张；使骄傲自满"&amp;CHAR(10)&amp;"vi. 膨胀；张开；鼓吹；夸张"&amp;CHAR(10)&amp;"n. 粉扑；泡芙；蓬松；一阵喷烟；肿块；吹嘘，宣传广告"&amp;CHAR(10)&amp;"n. (Puff)人名；(德)普夫"</f>
        <v/>
      </c>
      <c r="G1504" s="18">
        <f>HYPERLINK("D:\python\英语学习\voices\"&amp;B1504&amp;"_1.mp3","BrE")</f>
        <v/>
      </c>
      <c r="H1504" s="18">
        <f>HYPERLINK("D:\python\英语学习\voices\"&amp;B1504&amp;"_2.mp3","AmE")</f>
        <v/>
      </c>
      <c r="I1504" s="18">
        <f>HYPERLINK("http://dict.youdao.com/w/"&amp;B1504,"有道")</f>
        <v/>
      </c>
    </row>
    <row r="1505">
      <c r="B1505" s="1" t="inlineStr">
        <is>
          <t>pulmonary</t>
        </is>
      </c>
      <c r="C1505" s="7">
        <f>"adj. 肺的；有肺的；肺状的"</f>
        <v/>
      </c>
      <c r="G1505" s="18">
        <f>HYPERLINK("D:\python\英语学习\voices\"&amp;B1505&amp;"_1.mp3","BrE")</f>
        <v/>
      </c>
      <c r="H1505" s="18">
        <f>HYPERLINK("D:\python\英语学习\voices\"&amp;B1505&amp;"_2.mp3","AmE")</f>
        <v/>
      </c>
      <c r="I1505" s="18">
        <f>HYPERLINK("http://dict.youdao.com/w/"&amp;B1505,"有道")</f>
        <v/>
      </c>
    </row>
    <row r="1506">
      <c r="B1506" s="1" t="inlineStr">
        <is>
          <t>punctual</t>
        </is>
      </c>
      <c r="C1506" s="7">
        <f>"adj. 准时的，守时的；精确的"</f>
        <v/>
      </c>
      <c r="G1506" s="18">
        <f>HYPERLINK("D:\python\英语学习\voices\"&amp;B1506&amp;"_1.mp3","BrE")</f>
        <v/>
      </c>
      <c r="H1506" s="18">
        <f>HYPERLINK("D:\python\英语学习\voices\"&amp;B1506&amp;"_2.mp3","AmE")</f>
        <v/>
      </c>
      <c r="I1506" s="18">
        <f>HYPERLINK("http://dict.youdao.com/w/"&amp;B1506,"有道")</f>
        <v/>
      </c>
    </row>
    <row r="1507">
      <c r="B1507" s="1" t="inlineStr">
        <is>
          <t>pundit</t>
        </is>
      </c>
      <c r="C1507" s="7">
        <f>"n. 专家；博学者；梵文学者"</f>
        <v/>
      </c>
      <c r="G1507" s="18">
        <f>HYPERLINK("D:\python\英语学习\voices\"&amp;B1507&amp;"_1.mp3","BrE")</f>
        <v/>
      </c>
      <c r="H1507" s="18">
        <f>HYPERLINK("D:\python\英语学习\voices\"&amp;B1507&amp;"_2.mp3","AmE")</f>
        <v/>
      </c>
      <c r="I1507" s="18">
        <f>HYPERLINK("http://dict.youdao.com/w/"&amp;B1507,"有道")</f>
        <v/>
      </c>
    </row>
    <row customHeight="1" ht="42.75" r="1508">
      <c r="B1508" s="1" t="inlineStr">
        <is>
          <t>purge</t>
        </is>
      </c>
      <c r="C1508" s="7">
        <f>"vi. 净化；通便"&amp;CHAR(10)&amp;"vt. 净化；清洗；通便"&amp;CHAR(10)&amp;"n. 净化；泻药"</f>
        <v/>
      </c>
      <c r="G1508" s="18">
        <f>HYPERLINK("D:\python\英语学习\voices\"&amp;B1508&amp;"_1.mp3","BrE")</f>
        <v/>
      </c>
      <c r="H1508" s="18">
        <f>HYPERLINK("D:\python\英语学习\voices\"&amp;B1508&amp;"_2.mp3","AmE")</f>
        <v/>
      </c>
      <c r="I1508" s="18">
        <f>HYPERLINK("http://dict.youdao.com/w/"&amp;B1508,"有道")</f>
        <v/>
      </c>
    </row>
    <row customHeight="1" ht="28.5" r="1509">
      <c r="B1509" s="1" t="inlineStr">
        <is>
          <t>purport</t>
        </is>
      </c>
      <c r="C1509" s="7">
        <f>"vt. 声称；意图；意指；打算"&amp;CHAR(10)&amp;"n. 意义，主旨；意图"</f>
        <v/>
      </c>
      <c r="E1509" s="6" t="inlineStr">
        <is>
          <t>声称 [正式]</t>
        </is>
      </c>
      <c r="G1509" s="18">
        <f>HYPERLINK("D:\python\英语学习\voices\"&amp;B1509&amp;"_1.mp3","BrE")</f>
        <v/>
      </c>
      <c r="H1509" s="18">
        <f>HYPERLINK("D:\python\英语学习\voices\"&amp;B1509&amp;"_2.mp3","AmE")</f>
        <v/>
      </c>
      <c r="I1509" s="18">
        <f>HYPERLINK("http://dict.youdao.com/w/"&amp;B1509,"有道")</f>
        <v/>
      </c>
    </row>
    <row customHeight="1" ht="28.5" r="1510">
      <c r="B1510" s="1" t="inlineStr">
        <is>
          <t>pursuant</t>
        </is>
      </c>
      <c r="C1510" s="7">
        <f>"adj. 依据的；追赶的；随后的"&amp;CHAR(10)&amp;"adv. 根据；依照"</f>
        <v/>
      </c>
      <c r="E1510" t="inlineStr">
        <is>
          <t>bing只有依照依据，persuant to sth依据依照，很正式</t>
        </is>
      </c>
      <c r="F1510">
        <f>"Distributor shall not, pursuant to this Agreement or otherwise, have or acquire any right, title or interest in or to Supplier's Trademarks.
经销商不得拥有供应商商标的任何权利和利益，除非本协议另有约定。"</f>
        <v/>
      </c>
      <c r="G1510" s="18">
        <f>HYPERLINK("D:\python\英语学习\voices\"&amp;B1510&amp;"_1.mp3","BrE")</f>
        <v/>
      </c>
      <c r="H1510" s="18">
        <f>HYPERLINK("D:\python\英语学习\voices\"&amp;B1510&amp;"_2.mp3","AmE")</f>
        <v/>
      </c>
      <c r="I1510" s="18">
        <f>HYPERLINK("http://dict.youdao.com/w/"&amp;B1510,"有道")</f>
        <v/>
      </c>
    </row>
    <row r="1511">
      <c r="B1511" s="1" t="inlineStr">
        <is>
          <t>qualitative</t>
        </is>
      </c>
      <c r="C1511" s="7">
        <f>"adj. 定性的；质的，性质上的"</f>
        <v/>
      </c>
      <c r="G1511" s="18">
        <f>HYPERLINK("D:\python\英语学习\voices\"&amp;B1511&amp;"_1.mp3","BrE")</f>
        <v/>
      </c>
      <c r="H1511" s="18">
        <f>HYPERLINK("D:\python\英语学习\voices\"&amp;B1511&amp;"_2.mp3","AmE")</f>
        <v/>
      </c>
      <c r="I1511" s="18">
        <f>HYPERLINK("http://dict.youdao.com/w/"&amp;B1511,"有道")</f>
        <v/>
      </c>
    </row>
    <row customHeight="1" ht="28.5" r="1512">
      <c r="B1512" s="1" t="inlineStr">
        <is>
          <t>quantify</t>
        </is>
      </c>
      <c r="C1512" s="7">
        <f>"vt. 量化；为…定量；确定数量"&amp;CHAR(10)&amp;"vi. 量化；定量"</f>
        <v/>
      </c>
      <c r="F1512">
        <f>"His influence is impossible to quantify."</f>
        <v/>
      </c>
      <c r="G1512" s="18">
        <f>HYPERLINK("D:\python\英语学习\voices\"&amp;B1512&amp;"_1.mp3","BrE")</f>
        <v/>
      </c>
      <c r="H1512" s="18">
        <f>HYPERLINK("D:\python\英语学习\voices\"&amp;B1512&amp;"_2.mp3","AmE")</f>
        <v/>
      </c>
      <c r="I1512" s="18">
        <f>HYPERLINK("http://dict.youdao.com/w/"&amp;B1512,"有道")</f>
        <v/>
      </c>
    </row>
    <row r="1513">
      <c r="B1513" s="1" t="inlineStr">
        <is>
          <t>quantitative</t>
        </is>
      </c>
      <c r="C1513" s="7">
        <f>"adj. 定量的；量的，数量的"</f>
        <v/>
      </c>
      <c r="E1513" t="inlineStr">
        <is>
          <t>无 大量 之意</t>
        </is>
      </c>
      <c r="G1513" s="18">
        <f>HYPERLINK("D:\python\英语学习\voices\"&amp;B1513&amp;"_1.mp3","BrE")</f>
        <v/>
      </c>
      <c r="H1513" s="18">
        <f>HYPERLINK("D:\python\英语学习\voices\"&amp;B1513&amp;"_2.mp3","AmE")</f>
        <v/>
      </c>
      <c r="I1513" s="18">
        <f>HYPERLINK("http://dict.youdao.com/w/"&amp;B1513,"有道")</f>
        <v/>
      </c>
    </row>
    <row customHeight="1" ht="28.5" r="1514">
      <c r="B1514" s="1" t="inlineStr">
        <is>
          <t>quarrel</t>
        </is>
      </c>
      <c r="C1514" s="7">
        <f>"vi. 吵架；争论；挑剔"&amp;CHAR(10)&amp;"n. 吵架；反目；怨言；争吵的原因；方头凿"</f>
        <v/>
      </c>
      <c r="E1514" s="6" t="inlineStr">
        <is>
          <t>注意拼写</t>
        </is>
      </c>
      <c r="G1514" s="18">
        <f>HYPERLINK("D:\python\英语学习\voices\"&amp;B1514&amp;"_1.mp3","BrE")</f>
        <v/>
      </c>
      <c r="H1514" s="18">
        <f>HYPERLINK("D:\python\英语学习\voices\"&amp;B1514&amp;"_2.mp3","AmE")</f>
        <v/>
      </c>
      <c r="I1514" s="18">
        <f>HYPERLINK("http://dict.youdao.com/w/"&amp;B1514,"有道")</f>
        <v/>
      </c>
    </row>
    <row customHeight="1" ht="57" r="1515">
      <c r="B1515" s="1" t="inlineStr">
        <is>
          <t>quarry</t>
        </is>
      </c>
      <c r="C1515" s="7">
        <f>"n. 采石场；猎物；来源"&amp;CHAR(10)&amp;"vi. 费力地找"&amp;CHAR(10)&amp;"vt. 挖出；努力挖掘"&amp;CHAR(10)&amp;"n. (Quarry)人名；(英)夸里"</f>
        <v/>
      </c>
      <c r="G1515" s="18">
        <f>HYPERLINK("D:\python\英语学习\voices\"&amp;B1515&amp;"_1.mp3","BrE")</f>
        <v/>
      </c>
      <c r="H1515" s="18">
        <f>HYPERLINK("D:\python\英语学习\voices\"&amp;B1515&amp;"_2.mp3","AmE")</f>
        <v/>
      </c>
      <c r="I1515" s="18">
        <f>HYPERLINK("http://dict.youdao.com/w/"&amp;B1515,"有道")</f>
        <v/>
      </c>
    </row>
    <row r="1516">
      <c r="B1516" s="1" t="inlineStr">
        <is>
          <t>quartz</t>
        </is>
      </c>
      <c r="C1516" s="7">
        <f>"n. 石英"</f>
        <v/>
      </c>
      <c r="G1516" s="18">
        <f>HYPERLINK("D:\python\英语学习\voices\"&amp;B1516&amp;"_1.mp3","BrE")</f>
        <v/>
      </c>
      <c r="H1516" s="18">
        <f>HYPERLINK("D:\python\英语学习\voices\"&amp;B1516&amp;"_2.mp3","AmE")</f>
        <v/>
      </c>
      <c r="I1516" s="18">
        <f>HYPERLINK("http://dict.youdao.com/w/"&amp;B1516,"有道")</f>
        <v/>
      </c>
    </row>
    <row customHeight="1" ht="57" r="1517">
      <c r="B1517" s="1" t="inlineStr">
        <is>
          <t>queer</t>
        </is>
      </c>
      <c r="C1517" s="7">
        <f>"adj. 奇怪的；同性恋的；不舒服的；心智不平衡的"&amp;CHAR(10)&amp;"vt. 搞糟；使陷于不利地位"&amp;CHAR(10)&amp;"n. 同性恋者；怪人；伪造的货币"</f>
        <v/>
      </c>
      <c r="G1517" s="18">
        <f>HYPERLINK("D:\python\英语学习\voices\"&amp;B1517&amp;"_1.mp3","BrE")</f>
        <v/>
      </c>
      <c r="H1517" s="18">
        <f>HYPERLINK("D:\python\英语学习\voices\"&amp;B1517&amp;"_2.mp3","AmE")</f>
        <v/>
      </c>
      <c r="I1517" s="18">
        <f>HYPERLINK("http://dict.youdao.com/w/"&amp;B1517,"有道")</f>
        <v/>
      </c>
    </row>
    <row customHeight="1" ht="28.5" r="1518">
      <c r="B1518" s="1" t="inlineStr">
        <is>
          <t>quench</t>
        </is>
      </c>
      <c r="C1518" s="7">
        <f>"vt. 熄灭，[机] 淬火；解渴；结束；冷浸"&amp;CHAR(10)&amp;"vi. 熄灭；平息"</f>
        <v/>
      </c>
      <c r="G1518" s="18">
        <f>HYPERLINK("D:\python\英语学习\voices\"&amp;B1518&amp;"_1.mp3","BrE")</f>
        <v/>
      </c>
      <c r="H1518" s="18">
        <f>HYPERLINK("D:\python\英语学习\voices\"&amp;B1518&amp;"_2.mp3","AmE")</f>
        <v/>
      </c>
      <c r="I1518" s="18">
        <f>HYPERLINK("http://dict.youdao.com/w/"&amp;B1518,"有道")</f>
        <v/>
      </c>
    </row>
    <row customHeight="1" ht="42.75" r="1519">
      <c r="B1519" s="1" t="inlineStr">
        <is>
          <t>query</t>
        </is>
      </c>
      <c r="C1519" s="7">
        <f>"n. 疑问，质问；疑问号 ；[计] 查询"&amp;CHAR(10)&amp;"vt. 询问；对……表示疑问"&amp;CHAR(10)&amp;"vi. 询问；表示怀疑"</f>
        <v/>
      </c>
      <c r="G1519" s="18">
        <f>HYPERLINK("D:\python\英语学习\voices\"&amp;B1519&amp;"_1.mp3","BrE")</f>
        <v/>
      </c>
      <c r="H1519" s="18">
        <f>HYPERLINK("D:\python\英语学习\voices\"&amp;B1519&amp;"_2.mp3","AmE")</f>
        <v/>
      </c>
      <c r="I1519" s="18">
        <f>HYPERLINK("http://dict.youdao.com/w/"&amp;B1519,"有道")</f>
        <v/>
      </c>
    </row>
    <row r="1520">
      <c r="B1520" s="1" t="inlineStr">
        <is>
          <t>questionable</t>
        </is>
      </c>
      <c r="C1520" s="7">
        <f>"adj. 可疑的；有问题的"</f>
        <v/>
      </c>
      <c r="G1520" s="18">
        <f>HYPERLINK("D:\python\英语学习\voices\"&amp;B1520&amp;"_1.mp3","BrE")</f>
        <v/>
      </c>
      <c r="H1520" s="18">
        <f>HYPERLINK("D:\python\英语学习\voices\"&amp;B1520&amp;"_2.mp3","AmE")</f>
        <v/>
      </c>
      <c r="I1520" s="18">
        <f>HYPERLINK("http://dict.youdao.com/w/"&amp;B1520,"有道")</f>
        <v/>
      </c>
    </row>
    <row r="1521">
      <c r="B1521" s="1" t="inlineStr">
        <is>
          <t>quid</t>
        </is>
      </c>
      <c r="C1521" s="7">
        <f>"n. 咀嚼物；一英镑；一镑金币"</f>
        <v/>
      </c>
      <c r="G1521" s="18">
        <f>HYPERLINK("D:\python\英语学习\voices\"&amp;B1521&amp;"_1.mp3","BrE")</f>
        <v/>
      </c>
      <c r="H1521" s="18">
        <f>HYPERLINK("D:\python\英语学习\voices\"&amp;B1521&amp;"_2.mp3","AmE")</f>
        <v/>
      </c>
      <c r="I1521" s="18">
        <f>HYPERLINK("http://dict.youdao.com/w/"&amp;B1521,"有道")</f>
        <v/>
      </c>
    </row>
    <row customHeight="1" ht="42.75" r="1522">
      <c r="B1522" s="1" t="inlineStr">
        <is>
          <t>quiver</t>
        </is>
      </c>
      <c r="C1522" s="7">
        <f>"n. 颤抖；箭袋；震动"&amp;CHAR(10)&amp;"vi. 颤抖；振动"&amp;CHAR(10)&amp;"vt. 使…颤动；抖动"</f>
        <v/>
      </c>
      <c r="G1522" s="18">
        <f>HYPERLINK("D:\python\英语学习\voices\"&amp;B1522&amp;"_1.mp3","BrE")</f>
        <v/>
      </c>
      <c r="H1522" s="18">
        <f>HYPERLINK("D:\python\英语学习\voices\"&amp;B1522&amp;"_2.mp3","AmE")</f>
        <v/>
      </c>
      <c r="I1522" s="18">
        <f>HYPERLINK("http://dict.youdao.com/w/"&amp;B1522,"有道")</f>
        <v/>
      </c>
    </row>
    <row r="1523">
      <c r="B1523" s="1" t="inlineStr">
        <is>
          <t>quotation</t>
        </is>
      </c>
      <c r="C1523" s="7">
        <f>"n. [贸易] 报价单；引用语；引证"</f>
        <v/>
      </c>
      <c r="G1523" s="18">
        <f>HYPERLINK("D:\python\英语学习\voices\"&amp;B1523&amp;"_1.mp3","BrE")</f>
        <v/>
      </c>
      <c r="H1523" s="18">
        <f>HYPERLINK("D:\python\英语学习\voices\"&amp;B1523&amp;"_2.mp3","AmE")</f>
        <v/>
      </c>
      <c r="I1523" s="18">
        <f>HYPERLINK("http://dict.youdao.com/w/"&amp;B1523,"有道")</f>
        <v/>
      </c>
    </row>
    <row customHeight="1" ht="57" r="1524">
      <c r="B1524" s="1" t="inlineStr">
        <is>
          <t>rack</t>
        </is>
      </c>
      <c r="C1524" s="7">
        <f>"n. [机] 齿条；架子；拷问台"&amp;CHAR(10)&amp;"vi. 变形；随风飘；小步跑"&amp;CHAR(10)&amp;"vt. 折磨；榨取"&amp;CHAR(10)&amp;"n. (Rack)人名；(法、德、意、匈)拉克"</f>
        <v/>
      </c>
      <c r="G1524" s="18">
        <f>HYPERLINK("D:\python\英语学习\voices\"&amp;B1524&amp;"_1.mp3","BrE")</f>
        <v/>
      </c>
      <c r="H1524" s="18">
        <f>HYPERLINK("D:\python\英语学习\voices\"&amp;B1524&amp;"_2.mp3","AmE")</f>
        <v/>
      </c>
      <c r="I1524" s="18">
        <f>HYPERLINK("http://dict.youdao.com/w/"&amp;B1524,"有道")</f>
        <v/>
      </c>
    </row>
    <row customHeight="1" ht="42.75" r="1525">
      <c r="B1525" s="1" t="inlineStr">
        <is>
          <t>racket</t>
        </is>
      </c>
      <c r="C1525" s="7">
        <f>"n. 球拍；吵闹，喧闹"&amp;CHAR(10)&amp;"vt. 过着花天酒地的生活"&amp;CHAR(10)&amp;"vi. 过着花天酒地的生活"</f>
        <v/>
      </c>
      <c r="G1525" s="18">
        <f>HYPERLINK("D:\python\英语学习\voices\"&amp;B1525&amp;"_1.mp3","BrE")</f>
        <v/>
      </c>
      <c r="H1525" s="18">
        <f>HYPERLINK("D:\python\英语学习\voices\"&amp;B1525&amp;"_2.mp3","AmE")</f>
        <v/>
      </c>
      <c r="I1525" s="18">
        <f>HYPERLINK("http://dict.youdao.com/w/"&amp;B1525,"有道")</f>
        <v/>
      </c>
    </row>
    <row customHeight="1" ht="28.5" r="1526">
      <c r="B1526" s="1" t="inlineStr">
        <is>
          <t>radial</t>
        </is>
      </c>
      <c r="C1526" s="7">
        <f>"adj. 半径的；放射状的；光线的；光线状的"&amp;CHAR(10)&amp;"n. 射线，光线"</f>
        <v/>
      </c>
      <c r="G1526" s="18">
        <f>HYPERLINK("D:\python\英语学习\voices\"&amp;B1526&amp;"_1.mp3","BrE")</f>
        <v/>
      </c>
      <c r="H1526" s="18">
        <f>HYPERLINK("D:\python\英语学习\voices\"&amp;B1526&amp;"_2.mp3","AmE")</f>
        <v/>
      </c>
      <c r="I1526" s="18">
        <f>HYPERLINK("http://dict.youdao.com/w/"&amp;B1526,"有道")</f>
        <v/>
      </c>
    </row>
    <row customHeight="1" ht="28.5" r="1527">
      <c r="B1527" s="1" t="inlineStr">
        <is>
          <t>radiant</t>
        </is>
      </c>
      <c r="C1527" s="7">
        <f>"adj. 辐射的；容光焕发的；光芒四射的"&amp;CHAR(10)&amp;"n. 光点；发光的物体"</f>
        <v/>
      </c>
      <c r="G1527" s="18">
        <f>HYPERLINK("D:\python\英语学习\voices\"&amp;B1527&amp;"_1.mp3","BrE")</f>
        <v/>
      </c>
      <c r="H1527" s="18">
        <f>HYPERLINK("D:\python\英语学习\voices\"&amp;B1527&amp;"_2.mp3","AmE")</f>
        <v/>
      </c>
      <c r="I1527" s="18">
        <f>HYPERLINK("http://dict.youdao.com/w/"&amp;B1527,"有道")</f>
        <v/>
      </c>
    </row>
    <row customHeight="1" ht="42.75" r="1528">
      <c r="B1528" s="1" t="inlineStr">
        <is>
          <t>radiate</t>
        </is>
      </c>
      <c r="C1528" s="7">
        <f>"vt. 辐射；传播；流露；发射；广播"&amp;CHAR(10)&amp;"vi. 辐射；流露；发光；从中心向各方伸展"&amp;CHAR(10)&amp;"adj. 辐射状的，有射线的"</f>
        <v/>
      </c>
      <c r="E1528" s="6" t="inlineStr">
        <is>
          <t>radiate confidence</t>
        </is>
      </c>
      <c r="G1528" s="18">
        <f>HYPERLINK("D:\python\英语学习\voices\"&amp;B1528&amp;"_1.mp3","BrE")</f>
        <v/>
      </c>
      <c r="H1528" s="18">
        <f>HYPERLINK("D:\python\英语学习\voices\"&amp;B1528&amp;"_2.mp3","AmE")</f>
        <v/>
      </c>
      <c r="I1528" s="18">
        <f>HYPERLINK("http://dict.youdao.com/w/"&amp;B1528,"有道")</f>
        <v/>
      </c>
    </row>
    <row customHeight="1" ht="28.5" r="1529">
      <c r="B1529" s="1" t="inlineStr">
        <is>
          <t>radical</t>
        </is>
      </c>
      <c r="C1529" s="7">
        <f>"adj. 激进的；根本的；彻底的"&amp;CHAR(10)&amp;"n. 基础；激进分子；[物化] 原子团；[数] 根数"</f>
        <v/>
      </c>
      <c r="G1529" s="18">
        <f>HYPERLINK("D:\python\英语学习\voices\"&amp;B1529&amp;"_1.mp3","BrE")</f>
        <v/>
      </c>
      <c r="H1529" s="18">
        <f>HYPERLINK("D:\python\英语学习\voices\"&amp;B1529&amp;"_2.mp3","AmE")</f>
        <v/>
      </c>
      <c r="I1529" s="18">
        <f>HYPERLINK("http://dict.youdao.com/w/"&amp;B1529,"有道")</f>
        <v/>
      </c>
    </row>
    <row r="1530">
      <c r="B1530" s="1" t="inlineStr">
        <is>
          <t>radically</t>
        </is>
      </c>
      <c r="C1530" s="7">
        <f>"adv. 根本上；彻底地；以激进的方式"</f>
        <v/>
      </c>
      <c r="G1530" s="18">
        <f>HYPERLINK("D:\python\英语学习\voices\"&amp;B1530&amp;"_1.mp3","BrE")</f>
        <v/>
      </c>
      <c r="H1530" s="18">
        <f>HYPERLINK("D:\python\英语学习\voices\"&amp;B1530&amp;"_2.mp3","AmE")</f>
        <v/>
      </c>
      <c r="I1530" s="18">
        <f>HYPERLINK("http://dict.youdao.com/w/"&amp;B1530,"有道")</f>
        <v/>
      </c>
    </row>
    <row customHeight="1" ht="28.5" r="1531">
      <c r="B1531" s="1" t="inlineStr">
        <is>
          <t>ragged</t>
        </is>
      </c>
      <c r="C1531" s="7">
        <f>"adj. 衣衫褴褛的；粗糙的；参差不齐的；锯齿状的；刺耳的；不规则的"</f>
        <v/>
      </c>
      <c r="E1531" s="6" t="inlineStr">
        <is>
          <t>注意发音</t>
        </is>
      </c>
      <c r="G1531" s="18">
        <f>HYPERLINK("D:\python\英语学习\voices\"&amp;B1531&amp;"_1.mp3","BrE")</f>
        <v/>
      </c>
      <c r="H1531" s="18">
        <f>HYPERLINK("D:\python\英语学习\voices\"&amp;B1531&amp;"_2.mp3","AmE")</f>
        <v/>
      </c>
      <c r="I1531" s="18">
        <f>HYPERLINK("http://dict.youdao.com/w/"&amp;B1531,"有道")</f>
        <v/>
      </c>
    </row>
    <row customHeight="1" ht="57" r="1532">
      <c r="B1532" s="1" t="inlineStr">
        <is>
          <t>rake</t>
        </is>
      </c>
      <c r="C1532" s="7">
        <f>"vi. 搜索；用耙子耙；掠过，擦过"&amp;CHAR(10)&amp;"vt. 倾斜；搜索；掠过；用耙子耙"&amp;CHAR(10)&amp;"n. 耙子；斜度；钱耙；放荡的人，浪子"&amp;CHAR(10)&amp;"n. (Rake)人名；(英)雷克；(塞)拉凯"</f>
        <v/>
      </c>
      <c r="G1532" s="18">
        <f>HYPERLINK("D:\python\英语学习\voices\"&amp;B1532&amp;"_1.mp3","BrE")</f>
        <v/>
      </c>
      <c r="H1532" s="18">
        <f>HYPERLINK("D:\python\英语学习\voices\"&amp;B1532&amp;"_2.mp3","AmE")</f>
        <v/>
      </c>
      <c r="I1532" s="18">
        <f>HYPERLINK("http://dict.youdao.com/w/"&amp;B1532,"有道")</f>
        <v/>
      </c>
    </row>
    <row customHeight="1" ht="99.75" r="1533">
      <c r="B1533" s="1" t="inlineStr">
        <is>
          <t>ram</t>
        </is>
      </c>
      <c r="C1533" s="7">
        <f>"abbr. 随机存取存储器（random access memory的缩写）；随机访问内存（random-access memory的缩写）"&amp;CHAR(10)&amp;"n. 公羊；撞锤；撞击装置；有撞角的军舰；（水压机的）[机] 活塞"&amp;CHAR(10)&amp;"v. 撞击；填塞；强迫通过或接受"&amp;CHAR(10)&amp;"n. (Ram)人名；(英、印、尼、不丹、瑞典)拉姆"</f>
        <v/>
      </c>
      <c r="G1533" s="18">
        <f>HYPERLINK("D:\python\英语学习\voices\"&amp;B1533&amp;"_1.mp3","BrE")</f>
        <v/>
      </c>
      <c r="H1533" s="18">
        <f>HYPERLINK("D:\python\英语学习\voices\"&amp;B1533&amp;"_2.mp3","AmE")</f>
        <v/>
      </c>
      <c r="I1533" s="18">
        <f>HYPERLINK("http://dict.youdao.com/w/"&amp;B1533,"有道")</f>
        <v/>
      </c>
    </row>
    <row customHeight="1" ht="42.75" r="1534">
      <c r="B1534" s="1" t="inlineStr">
        <is>
          <t>ramble</t>
        </is>
      </c>
      <c r="C1534" s="7">
        <f>"n. 漫步；漫游；随笔"&amp;CHAR(10)&amp;"vt. 漫步于…"&amp;CHAR(10)&amp;"vi. 漫步；漫游；闲逛；漫谈；蔓延"</f>
        <v/>
      </c>
      <c r="G1534" s="18">
        <f>HYPERLINK("D:\python\英语学习\voices\"&amp;B1534&amp;"_1.mp3","BrE")</f>
        <v/>
      </c>
      <c r="H1534" s="18">
        <f>HYPERLINK("D:\python\英语学习\voices\"&amp;B1534&amp;"_2.mp3","AmE")</f>
        <v/>
      </c>
      <c r="I1534" s="18">
        <f>HYPERLINK("http://dict.youdao.com/w/"&amp;B1534,"有道")</f>
        <v/>
      </c>
    </row>
    <row customHeight="1" ht="42.75" r="1535">
      <c r="B1535" s="1" t="inlineStr">
        <is>
          <t>ranch</t>
        </is>
      </c>
      <c r="C1535" s="7">
        <f>"n. 大农场；大牧场"&amp;CHAR(10)&amp;"vi. 经营牧场；在牧场工作"&amp;CHAR(10)&amp;"vt. 经营牧场；在牧场饲养…"</f>
        <v/>
      </c>
      <c r="G1535" s="18">
        <f>HYPERLINK("D:\python\英语学习\voices\"&amp;B1535&amp;"_1.mp3","BrE")</f>
        <v/>
      </c>
      <c r="H1535" s="18">
        <f>HYPERLINK("D:\python\英语学习\voices\"&amp;B1535&amp;"_2.mp3","AmE")</f>
        <v/>
      </c>
      <c r="I1535" s="18">
        <f>HYPERLINK("http://dict.youdao.com/w/"&amp;B1535,"有道")</f>
        <v/>
      </c>
    </row>
    <row r="1536">
      <c r="B1536" s="1" t="inlineStr">
        <is>
          <t>rapidity</t>
        </is>
      </c>
      <c r="C1536" s="7">
        <f>"n. 迅速，急速；速度；险峻"</f>
        <v/>
      </c>
      <c r="G1536" s="18">
        <f>HYPERLINK("D:\python\英语学习\voices\"&amp;B1536&amp;"_1.mp3","BrE")</f>
        <v/>
      </c>
      <c r="H1536" s="18">
        <f>HYPERLINK("D:\python\英语学习\voices\"&amp;B1536&amp;"_2.mp3","AmE")</f>
        <v/>
      </c>
      <c r="I1536" s="18">
        <f>HYPERLINK("http://dict.youdao.com/w/"&amp;B1536,"有道")</f>
        <v/>
      </c>
    </row>
    <row customHeight="1" ht="28.5" r="1537">
      <c r="A1537" s="1" t="inlineStr">
        <is>
          <t>practice</t>
        </is>
      </c>
      <c r="B1537" s="1" t="inlineStr">
        <is>
          <t>eccentric</t>
        </is>
      </c>
      <c r="C1537" s="7">
        <f>"adj. 古怪的，反常的"&amp;CHAR(10)&amp;"n. 古怪的人"</f>
        <v/>
      </c>
      <c r="G1537" s="18">
        <f>HYPERLINK("D:\python\英语学习\voices\"&amp;B1537&amp;"_1.mp3","BrE")</f>
        <v/>
      </c>
      <c r="H1537" s="18">
        <f>HYPERLINK("D:\python\英语学习\voices\"&amp;B1537&amp;"_2.mp3","AmE")</f>
        <v/>
      </c>
      <c r="I1537" s="18">
        <f>HYPERLINK("http://dict.youdao.com/w/"&amp;B1537,"有道")</f>
        <v/>
      </c>
    </row>
    <row customHeight="1" ht="28.5" r="1538">
      <c r="A1538" s="1" t="inlineStr">
        <is>
          <t>unnecessary</t>
        </is>
      </c>
      <c r="B1538" s="1" t="inlineStr">
        <is>
          <t>rascal</t>
        </is>
      </c>
      <c r="C1538" s="7">
        <f>"n. 流氓，无赖；淘气鬼，捣蛋鬼"&amp;CHAR(10)&amp;"adj. 不诚实的；下贱的，卑鄙的"</f>
        <v/>
      </c>
      <c r="G1538" s="18">
        <f>HYPERLINK("D:\python\英语学习\voices\"&amp;B1538&amp;"_1.mp3","BrE")</f>
        <v/>
      </c>
      <c r="H1538" s="18">
        <f>HYPERLINK("D:\python\英语学习\voices\"&amp;B1538&amp;"_2.mp3","AmE")</f>
        <v/>
      </c>
      <c r="I1538" s="18">
        <f>HYPERLINK("http://dict.youdao.com/w/"&amp;B1538,"有道")</f>
        <v/>
      </c>
    </row>
    <row r="1539">
      <c r="B1539" s="1" t="inlineStr">
        <is>
          <t>ratify</t>
        </is>
      </c>
      <c r="C1539" s="7">
        <f>"vt. 批准；认可"</f>
        <v/>
      </c>
      <c r="G1539" s="18">
        <f>HYPERLINK("D:\python\英语学习\voices\"&amp;B1539&amp;"_1.mp3","BrE")</f>
        <v/>
      </c>
      <c r="H1539" s="18">
        <f>HYPERLINK("D:\python\英语学习\voices\"&amp;B1539&amp;"_2.mp3","AmE")</f>
        <v/>
      </c>
      <c r="I1539" s="18">
        <f>HYPERLINK("http://dict.youdao.com/w/"&amp;B1539,"有道")</f>
        <v/>
      </c>
    </row>
    <row customHeight="1" ht="28.5" r="1540">
      <c r="B1540" s="1" t="inlineStr">
        <is>
          <t>ration</t>
        </is>
      </c>
      <c r="C1540" s="7">
        <f>"vt. 配给；定量供应"&amp;CHAR(10)&amp;"n. 定量；口粮；配给量"</f>
        <v/>
      </c>
      <c r="G1540" s="18">
        <f>HYPERLINK("D:\python\英语学习\voices\"&amp;B1540&amp;"_1.mp3","BrE")</f>
        <v/>
      </c>
      <c r="H1540" s="18">
        <f>HYPERLINK("D:\python\英语学习\voices\"&amp;B1540&amp;"_2.mp3","AmE")</f>
        <v/>
      </c>
      <c r="I1540" s="18">
        <f>HYPERLINK("http://dict.youdao.com/w/"&amp;B1540,"有道")</f>
        <v/>
      </c>
    </row>
    <row r="1541">
      <c r="B1541" s="1" t="inlineStr">
        <is>
          <t>rationality</t>
        </is>
      </c>
      <c r="C1541" s="7">
        <f>"n. 合理性；合理的行动"</f>
        <v/>
      </c>
      <c r="D1541" s="6" t="inlineStr">
        <is>
          <t>irrational不理性</t>
        </is>
      </c>
      <c r="G1541" s="18">
        <f>HYPERLINK("D:\python\英语学习\voices\"&amp;B1541&amp;"_1.mp3","BrE")</f>
        <v/>
      </c>
      <c r="H1541" s="18">
        <f>HYPERLINK("D:\python\英语学习\voices\"&amp;B1541&amp;"_2.mp3","AmE")</f>
        <v/>
      </c>
      <c r="I1541" s="18">
        <f>HYPERLINK("http://dict.youdao.com/w/"&amp;B1541,"有道")</f>
        <v/>
      </c>
    </row>
    <row customHeight="1" ht="57" r="1542">
      <c r="B1542" s="1" t="inlineStr">
        <is>
          <t>rattle</t>
        </is>
      </c>
      <c r="C1542" s="7">
        <f>"vt. 使发出咯咯声；喋喋不休；使慌乱，使惊慌"&amp;CHAR(10)&amp;"vi. 喋喋不休地讲话；发出卡嗒卡嗒声"&amp;CHAR(10)&amp;"n. 喋喋不休的人；吓吱声，格格声"&amp;CHAR(10)&amp;"n. (Rattle)人名；(英)拉特尔"</f>
        <v/>
      </c>
      <c r="G1542" s="18">
        <f>HYPERLINK("D:\python\英语学习\voices\"&amp;B1542&amp;"_1.mp3","BrE")</f>
        <v/>
      </c>
      <c r="H1542" s="18">
        <f>HYPERLINK("D:\python\英语学习\voices\"&amp;B1542&amp;"_2.mp3","AmE")</f>
        <v/>
      </c>
      <c r="I1542" s="18">
        <f>HYPERLINK("http://dict.youdao.com/w/"&amp;B1542,"有道")</f>
        <v/>
      </c>
    </row>
    <row customHeight="1" ht="85.5" r="1543">
      <c r="B1543" s="1" t="inlineStr">
        <is>
          <t>rave</t>
        </is>
      </c>
      <c r="C1543" s="7">
        <f>"n. 咆哮；胡言乱语；热烈赞美"&amp;CHAR(10)&amp;"vi. 咆哮；胡言乱语；狂骂"&amp;CHAR(10)&amp;"vt. 咆哮；语无伦次地说"&amp;CHAR(10)&amp;"adj. 赞扬的"&amp;CHAR(10)&amp;"n. (Rave)人名；(法)拉夫；(西、芬、德、瑞典)拉韦"</f>
        <v/>
      </c>
      <c r="G1543" s="18">
        <f>HYPERLINK("D:\python\英语学习\voices\"&amp;B1543&amp;"_1.mp3","BrE")</f>
        <v/>
      </c>
      <c r="H1543" s="18">
        <f>HYPERLINK("D:\python\英语学习\voices\"&amp;B1543&amp;"_2.mp3","AmE")</f>
        <v/>
      </c>
      <c r="I1543" s="18">
        <f>HYPERLINK("http://dict.youdao.com/w/"&amp;B1543,"有道")</f>
        <v/>
      </c>
    </row>
    <row r="1544">
      <c r="B1544" s="1" t="inlineStr">
        <is>
          <t>readily</t>
        </is>
      </c>
      <c r="C1544" s="7">
        <f>"adv. 容易地；乐意地；无困难地"</f>
        <v/>
      </c>
      <c r="G1544" s="18">
        <f>HYPERLINK("D:\python\英语学习\voices\"&amp;B1544&amp;"_1.mp3","BrE")</f>
        <v/>
      </c>
      <c r="H1544" s="18">
        <f>HYPERLINK("D:\python\英语学习\voices\"&amp;B1544&amp;"_2.mp3","AmE")</f>
        <v/>
      </c>
      <c r="I1544" s="18">
        <f>HYPERLINK("http://dict.youdao.com/w/"&amp;B1544,"有道")</f>
        <v/>
      </c>
    </row>
    <row r="1545">
      <c r="B1545" s="1" t="inlineStr">
        <is>
          <t>readiness</t>
        </is>
      </c>
      <c r="C1545" s="7">
        <f>"n. 敏捷，迅速；准备就绪；愿意"</f>
        <v/>
      </c>
      <c r="G1545" s="18">
        <f>HYPERLINK("D:\python\英语学习\voices\"&amp;B1545&amp;"_1.mp3","BrE")</f>
        <v/>
      </c>
      <c r="H1545" s="18">
        <f>HYPERLINK("D:\python\英语学习\voices\"&amp;B1545&amp;"_2.mp3","AmE")</f>
        <v/>
      </c>
      <c r="I1545" s="18">
        <f>HYPERLINK("http://dict.youdao.com/w/"&amp;B1545,"有道")</f>
        <v/>
      </c>
    </row>
    <row customHeight="1" ht="71.25" r="1546">
      <c r="A1546" s="1" t="inlineStr">
        <is>
          <t>practice</t>
        </is>
      </c>
      <c r="B1546" s="1" t="inlineStr">
        <is>
          <t>empirical</t>
        </is>
      </c>
      <c r="C1546" s="7">
        <f>"adj. 经验主义的，完全根据经验的；实证的"</f>
        <v/>
      </c>
      <c r="G1546" s="18">
        <f>HYPERLINK("D:\python\英语学习\voices\"&amp;B1546&amp;"_1.mp3","BrE")</f>
        <v/>
      </c>
      <c r="H1546" s="18">
        <f>HYPERLINK("D:\python\英语学习\voices\"&amp;B1546&amp;"_2.mp3","AmE")</f>
        <v/>
      </c>
      <c r="I1546" s="18">
        <f>HYPERLINK("http://dict.youdao.com/w/"&amp;B1546,"有道")</f>
        <v/>
      </c>
    </row>
    <row customHeight="1" ht="57" r="1547">
      <c r="B1547" s="1" t="inlineStr">
        <is>
          <t>reason</t>
        </is>
      </c>
      <c r="C1547" s="7">
        <f>"n. 理由；理性；动机"&amp;CHAR(10)&amp;"vi. 推论；劝说"&amp;CHAR(10)&amp;"vt. 说服；推论；辩论"&amp;CHAR(10)&amp;"n. (Reason)人名；(英)里森"</f>
        <v/>
      </c>
      <c r="E1547" s="6" t="inlineStr">
        <is>
          <t>好多意思</t>
        </is>
      </c>
      <c r="G1547" s="18">
        <f>HYPERLINK("D:\python\英语学习\voices\"&amp;B1547&amp;"_1.mp3","BrE")</f>
        <v/>
      </c>
      <c r="H1547" s="18">
        <f>HYPERLINK("D:\python\英语学习\voices\"&amp;B1547&amp;"_2.mp3","AmE")</f>
        <v/>
      </c>
      <c r="I1547" s="18">
        <f>HYPERLINK("http://dict.youdao.com/w/"&amp;B1547,"有道")</f>
        <v/>
      </c>
    </row>
    <row customHeight="1" ht="57" r="1548">
      <c r="A1548" t="inlineStr">
        <is>
          <t>practice</t>
        </is>
      </c>
      <c r="B1548" s="1" t="inlineStr">
        <is>
          <t>endowment</t>
        </is>
      </c>
      <c r="C1548" s="7">
        <f>"n. 捐赠；捐助；捐款；天资"</f>
        <v/>
      </c>
      <c r="E1548" t="inlineStr">
        <is>
          <t>注意发音-au</t>
        </is>
      </c>
      <c r="G1548" s="18">
        <f>HYPERLINK("D:\python\英语学习\voices\"&amp;B1548&amp;"_1.mp3","BrE")</f>
        <v/>
      </c>
      <c r="H1548" s="18">
        <f>HYPERLINK("D:\python\英语学习\voices\"&amp;B1548&amp;"_2.mp3","AmE")</f>
        <v/>
      </c>
      <c r="I1548" s="18">
        <f>HYPERLINK("http://dict.youdao.com/w/"&amp;B1548,"有道")</f>
        <v/>
      </c>
    </row>
    <row customHeight="1" ht="28.5" r="1549">
      <c r="B1549" s="1" t="inlineStr">
        <is>
          <t>rebuke</t>
        </is>
      </c>
      <c r="C1549" s="7">
        <f>"vt. 指责，非难；制止；使相形见绌"&amp;CHAR(10)&amp;"n. 非难，指责；谴责，鞭策"</f>
        <v/>
      </c>
      <c r="G1549" s="18">
        <f>HYPERLINK("D:\python\英语学习\voices\"&amp;B1549&amp;"_1.mp3","BrE")</f>
        <v/>
      </c>
      <c r="H1549" s="18">
        <f>HYPERLINK("D:\python\英语学习\voices\"&amp;B1549&amp;"_2.mp3","AmE")</f>
        <v/>
      </c>
      <c r="I1549" s="18">
        <f>HYPERLINK("http://dict.youdao.com/w/"&amp;B1549,"有道")</f>
        <v/>
      </c>
    </row>
    <row customHeight="1" ht="28.5" r="1550">
      <c r="B1550" s="1" t="inlineStr">
        <is>
          <t>recede</t>
        </is>
      </c>
      <c r="C1550" s="7">
        <f>"vi. 后退；减弱"&amp;CHAR(10)&amp;"vt. 撤回"</f>
        <v/>
      </c>
      <c r="G1550" s="18">
        <f>HYPERLINK("D:\python\英语学习\voices\"&amp;B1550&amp;"_1.mp3","BrE")</f>
        <v/>
      </c>
      <c r="H1550" s="18">
        <f>HYPERLINK("D:\python\英语学习\voices\"&amp;B1550&amp;"_2.mp3","AmE")</f>
        <v/>
      </c>
      <c r="I1550" s="18">
        <f>HYPERLINK("http://dict.youdao.com/w/"&amp;B1550,"有道")</f>
        <v/>
      </c>
    </row>
    <row customHeight="1" ht="28.5" r="1551">
      <c r="B1551" s="1" t="inlineStr">
        <is>
          <t>receipt</t>
        </is>
      </c>
      <c r="C1551" s="7">
        <f>"n. 收到；收据；收入"&amp;CHAR(10)&amp;"vt. 收到"</f>
        <v/>
      </c>
      <c r="G1551" s="18">
        <f>HYPERLINK("D:\python\英语学习\voices\"&amp;B1551&amp;"_1.mp3","BrE")</f>
        <v/>
      </c>
      <c r="H1551" s="18">
        <f>HYPERLINK("D:\python\英语学习\voices\"&amp;B1551&amp;"_2.mp3","AmE")</f>
        <v/>
      </c>
      <c r="I1551" s="18">
        <f>HYPERLINK("http://dict.youdao.com/w/"&amp;B1551,"有道")</f>
        <v/>
      </c>
    </row>
    <row customHeight="1" ht="28.5" r="1552">
      <c r="B1552" s="1" t="inlineStr">
        <is>
          <t>received</t>
        </is>
      </c>
      <c r="C1552" s="7">
        <f>"adj. 被一般承认的；被认为标准的"&amp;CHAR(10)&amp;"v. 收到；接受；迎接（receive的过去分词）"</f>
        <v/>
      </c>
      <c r="G1552" s="18">
        <f>HYPERLINK("D:\python\英语学习\voices\"&amp;B1552&amp;"_1.mp3","BrE")</f>
        <v/>
      </c>
      <c r="H1552" s="18">
        <f>HYPERLINK("D:\python\英语学习\voices\"&amp;B1552&amp;"_2.mp3","AmE")</f>
        <v/>
      </c>
      <c r="I1552" s="18">
        <f>HYPERLINK("http://dict.youdao.com/w/"&amp;B1552,"有道")</f>
        <v/>
      </c>
    </row>
    <row customHeight="1" ht="28.5" r="1553">
      <c r="B1553" s="1" t="inlineStr">
        <is>
          <t>reciprocal</t>
        </is>
      </c>
      <c r="C1553" s="7">
        <f>"adj. 互惠的；相互的；倒数的，彼此相反的"&amp;CHAR(10)&amp;"n. [数] 倒数；互相起作用的事物"</f>
        <v/>
      </c>
      <c r="G1553" s="18">
        <f>HYPERLINK("D:\python\英语学习\voices\"&amp;B1553&amp;"_1.mp3","BrE")</f>
        <v/>
      </c>
      <c r="H1553" s="18">
        <f>HYPERLINK("D:\python\英语学习\voices\"&amp;B1553&amp;"_2.mp3","AmE")</f>
        <v/>
      </c>
      <c r="I1553" s="18">
        <f>HYPERLINK("http://dict.youdao.com/w/"&amp;B1553,"有道")</f>
        <v/>
      </c>
    </row>
    <row customHeight="1" ht="28.5" r="1554">
      <c r="B1554" s="1" t="inlineStr">
        <is>
          <t>reckless</t>
        </is>
      </c>
      <c r="C1554" s="7">
        <f>"adj. 鲁莽的，不顾后果的；粗心大意的"&amp;CHAR(10)&amp;"n. (Reckless)人名；(英)雷克利斯"</f>
        <v/>
      </c>
      <c r="G1554" s="18">
        <f>HYPERLINK("D:\python\英语学习\voices\"&amp;B1554&amp;"_1.mp3","BrE")</f>
        <v/>
      </c>
      <c r="H1554" s="18">
        <f>HYPERLINK("D:\python\英语学习\voices\"&amp;B1554&amp;"_2.mp3","AmE")</f>
        <v/>
      </c>
      <c r="I1554" s="18">
        <f>HYPERLINK("http://dict.youdao.com/w/"&amp;B1554,"有道")</f>
        <v/>
      </c>
    </row>
    <row customHeight="1" ht="28.5" r="1555">
      <c r="B1555" s="1" t="inlineStr">
        <is>
          <t>reckon</t>
        </is>
      </c>
      <c r="C1555" s="7">
        <f>"vt. 测算，估计；认为；计算"&amp;CHAR(10)&amp;"vi. 估计；计算；猜想，料想"</f>
        <v/>
      </c>
      <c r="E1555" s="7" t="inlineStr">
        <is>
          <t>被普遍认为
(不正式)=think</t>
        </is>
      </c>
      <c r="F1555" s="14">
        <f>"and as the man rolled up his eyes at him in the last agony, 'George, ' said he, 'I reckon I settled you.
墨利在断气前翻起一双眼睛瞪着他。“乔治，”西尔弗说，“这下我可让你闭上嘴了。”"</f>
        <v/>
      </c>
      <c r="G1555" s="18">
        <f>HYPERLINK("D:\python\英语学习\voices\"&amp;B1555&amp;"_1.mp3","BrE")</f>
        <v/>
      </c>
      <c r="H1555" s="18">
        <f>HYPERLINK("D:\python\英语学习\voices\"&amp;B1555&amp;"_2.mp3","AmE")</f>
        <v/>
      </c>
      <c r="I1555" s="18">
        <f>HYPERLINK("http://dict.youdao.com/w/"&amp;B1555,"有道")</f>
        <v/>
      </c>
    </row>
    <row customHeight="1" ht="42.75" r="1556">
      <c r="B1556" s="1" t="inlineStr">
        <is>
          <t>reclaim</t>
        </is>
      </c>
      <c r="C1556" s="7">
        <f>"vt. 开拓；回收再利用；改造某人，使某人悔改"&amp;CHAR(10)&amp;"vi. 抗议，喊叫"&amp;CHAR(10)&amp;"n. 改造，感化；再生胶"</f>
        <v/>
      </c>
      <c r="G1556" s="18">
        <f>HYPERLINK("D:\python\英语学习\voices\"&amp;B1556&amp;"_1.mp3","BrE")</f>
        <v/>
      </c>
      <c r="H1556" s="18">
        <f>HYPERLINK("D:\python\英语学习\voices\"&amp;B1556&amp;"_2.mp3","AmE")</f>
        <v/>
      </c>
      <c r="I1556" s="18">
        <f>HYPERLINK("http://dict.youdao.com/w/"&amp;B1556,"有道")</f>
        <v/>
      </c>
    </row>
    <row r="1557">
      <c r="B1557" s="1" t="inlineStr">
        <is>
          <t>recognition</t>
        </is>
      </c>
      <c r="C1557" s="7">
        <f>"n. 识别；承认，认出；重视；赞誉；公认"</f>
        <v/>
      </c>
      <c r="G1557" s="18">
        <f>HYPERLINK("D:\python\英语学习\voices\"&amp;B1557&amp;"_1.mp3","BrE")</f>
        <v/>
      </c>
      <c r="H1557" s="18">
        <f>HYPERLINK("D:\python\英语学习\voices\"&amp;B1557&amp;"_2.mp3","AmE")</f>
        <v/>
      </c>
      <c r="I1557" s="18">
        <f>HYPERLINK("http://dict.youdao.com/w/"&amp;B1557,"有道")</f>
        <v/>
      </c>
    </row>
    <row r="1558">
      <c r="B1558" s="1" t="inlineStr">
        <is>
          <t>recollect</t>
        </is>
      </c>
      <c r="C1558" s="7">
        <f>"v. 回忆，想起"</f>
        <v/>
      </c>
      <c r="G1558" s="18">
        <f>HYPERLINK("D:\python\英语学习\voices\"&amp;B1558&amp;"_1.mp3","BrE")</f>
        <v/>
      </c>
      <c r="H1558" s="18">
        <f>HYPERLINK("D:\python\英语学习\voices\"&amp;B1558&amp;"_2.mp3","AmE")</f>
        <v/>
      </c>
      <c r="I1558" s="18">
        <f>HYPERLINK("http://dict.youdao.com/w/"&amp;B1558,"有道")</f>
        <v/>
      </c>
    </row>
    <row customHeight="1" ht="28.5" r="1559">
      <c r="A1559" t="inlineStr">
        <is>
          <t>practice</t>
        </is>
      </c>
      <c r="B1559" s="1" t="inlineStr">
        <is>
          <t>engender</t>
        </is>
      </c>
      <c r="C1559" s="7">
        <f>"vt. 使产生；造成"&amp;CHAR(10)&amp;"vi. 产生；引起"</f>
        <v/>
      </c>
      <c r="D1559" s="16" t="inlineStr">
        <is>
          <t>gender性别/性交，所以engender产生</t>
        </is>
      </c>
      <c r="E1559" s="16" t="inlineStr">
        <is>
          <t>provoke cause bring out</t>
        </is>
      </c>
      <c r="G1559" s="18">
        <f>HYPERLINK("D:\python\英语学习\voices\"&amp;B1559&amp;"_1.mp3","BrE")</f>
        <v/>
      </c>
      <c r="H1559" s="18">
        <f>HYPERLINK("D:\python\英语学习\voices\"&amp;B1559&amp;"_2.mp3","AmE")</f>
        <v/>
      </c>
      <c r="I1559" s="18">
        <f>HYPERLINK("http://dict.youdao.com/w/"&amp;B1559,"有道")</f>
        <v/>
      </c>
    </row>
    <row r="1560">
      <c r="B1560" s="1" t="inlineStr">
        <is>
          <t>reconstruct</t>
        </is>
      </c>
      <c r="C1560" s="7">
        <f>"vt. 重建；改造；修复；重现"</f>
        <v/>
      </c>
      <c r="G1560" s="18">
        <f>HYPERLINK("D:\python\英语学习\voices\"&amp;B1560&amp;"_1.mp3","BrE")</f>
        <v/>
      </c>
      <c r="H1560" s="18">
        <f>HYPERLINK("D:\python\英语学习\voices\"&amp;B1560&amp;"_2.mp3","AmE")</f>
        <v/>
      </c>
      <c r="I1560" s="18">
        <f>HYPERLINK("http://dict.youdao.com/w/"&amp;B1560,"有道")</f>
        <v/>
      </c>
    </row>
    <row r="1561">
      <c r="B1561" s="1" t="inlineStr">
        <is>
          <t>recreation</t>
        </is>
      </c>
      <c r="C1561" s="7">
        <f>"n. 娱乐；消遣；休养"</f>
        <v/>
      </c>
      <c r="E1561" t="inlineStr">
        <is>
          <t>'=hobby</t>
        </is>
      </c>
      <c r="G1561" s="18">
        <f>HYPERLINK("D:\python\英语学习\voices\"&amp;B1561&amp;"_1.mp3","BrE")</f>
        <v/>
      </c>
      <c r="H1561" s="18">
        <f>HYPERLINK("D:\python\英语学习\voices\"&amp;B1561&amp;"_2.mp3","AmE")</f>
        <v/>
      </c>
      <c r="I1561" s="18">
        <f>HYPERLINK("http://dict.youdao.com/w/"&amp;B1561,"有道")</f>
        <v/>
      </c>
    </row>
    <row r="1562">
      <c r="B1562" s="1" t="inlineStr">
        <is>
          <t>rectify</t>
        </is>
      </c>
      <c r="C1562" s="7">
        <f>"vt. 改正；精馏；整流"</f>
        <v/>
      </c>
      <c r="G1562" s="18">
        <f>HYPERLINK("D:\python\英语学习\voices\"&amp;B1562&amp;"_1.mp3","BrE")</f>
        <v/>
      </c>
      <c r="H1562" s="18">
        <f>HYPERLINK("D:\python\英语学习\voices\"&amp;B1562&amp;"_2.mp3","AmE")</f>
        <v/>
      </c>
      <c r="I1562" s="18">
        <f>HYPERLINK("http://dict.youdao.com/w/"&amp;B1562,"有道")</f>
        <v/>
      </c>
    </row>
    <row r="1563">
      <c r="B1563" s="1" t="inlineStr">
        <is>
          <t>recur</t>
        </is>
      </c>
      <c r="C1563" s="7">
        <f>"vi. 复发；重现；采用；再来；循环；递归"</f>
        <v/>
      </c>
      <c r="G1563" s="18">
        <f>HYPERLINK("D:\python\英语学习\voices\"&amp;B1563&amp;"_1.mp3","BrE")</f>
        <v/>
      </c>
      <c r="H1563" s="18">
        <f>HYPERLINK("D:\python\英语学习\voices\"&amp;B1563&amp;"_2.mp3","AmE")</f>
        <v/>
      </c>
      <c r="I1563" s="18">
        <f>HYPERLINK("http://dict.youdao.com/w/"&amp;B1563,"有道")</f>
        <v/>
      </c>
    </row>
    <row r="1564">
      <c r="B1564" s="1" t="inlineStr">
        <is>
          <t>recurrence</t>
        </is>
      </c>
      <c r="C1564" s="7">
        <f>"n. 再发生；循环；重现；重新提起"</f>
        <v/>
      </c>
      <c r="G1564" s="18">
        <f>HYPERLINK("D:\python\英语学习\voices\"&amp;B1564&amp;"_1.mp3","BrE")</f>
        <v/>
      </c>
      <c r="H1564" s="18">
        <f>HYPERLINK("D:\python\英语学习\voices\"&amp;B1564&amp;"_2.mp3","AmE")</f>
        <v/>
      </c>
      <c r="I1564" s="18">
        <f>HYPERLINK("http://dict.youdao.com/w/"&amp;B1564,"有道")</f>
        <v/>
      </c>
    </row>
    <row r="1565">
      <c r="B1565" s="1" t="inlineStr">
        <is>
          <t>redeem</t>
        </is>
      </c>
      <c r="C1565" s="7">
        <f>"vt. 赎回；挽回；兑换；履行；补偿；恢复"</f>
        <v/>
      </c>
      <c r="G1565" s="18">
        <f>HYPERLINK("D:\python\英语学习\voices\"&amp;B1565&amp;"_1.mp3","BrE")</f>
        <v/>
      </c>
      <c r="H1565" s="18">
        <f>HYPERLINK("D:\python\英语学习\voices\"&amp;B1565&amp;"_2.mp3","AmE")</f>
        <v/>
      </c>
      <c r="I1565" s="18">
        <f>HYPERLINK("http://dict.youdao.com/w/"&amp;B1565,"有道")</f>
        <v/>
      </c>
    </row>
    <row customHeight="1" ht="28.5" r="1566">
      <c r="B1566" s="1" t="inlineStr">
        <is>
          <t>redundancy</t>
        </is>
      </c>
      <c r="C1566" s="7">
        <f>"n. [计][数] 冗余（等于redundance）；裁员；人浮于事"</f>
        <v/>
      </c>
      <c r="G1566" s="18">
        <f>HYPERLINK("D:\python\英语学习\voices\"&amp;B1566&amp;"_1.mp3","BrE")</f>
        <v/>
      </c>
      <c r="H1566" s="18">
        <f>HYPERLINK("D:\python\英语学习\voices\"&amp;B1566&amp;"_2.mp3","AmE")</f>
        <v/>
      </c>
      <c r="I1566" s="18">
        <f>HYPERLINK("http://dict.youdao.com/w/"&amp;B1566,"有道")</f>
        <v/>
      </c>
    </row>
    <row customHeight="1" ht="57" r="1567">
      <c r="B1567" s="1" t="inlineStr">
        <is>
          <t>reel</t>
        </is>
      </c>
      <c r="C1567" s="7">
        <f>"vi. 卷；眩晕；蹒跚地走；退缩"&amp;CHAR(10)&amp;"vt. 卷；使旋转"&amp;CHAR(10)&amp;"n. 蹒跚；眩晕；旋转"&amp;CHAR(10)&amp;"n. (Reel)人名；(土)雷埃尔"</f>
        <v/>
      </c>
      <c r="G1567" s="18">
        <f>HYPERLINK("D:\python\英语学习\voices\"&amp;B1567&amp;"_1.mp3","BrE")</f>
        <v/>
      </c>
      <c r="H1567" s="18">
        <f>HYPERLINK("D:\python\英语学习\voices\"&amp;B1567&amp;"_2.mp3","AmE")</f>
        <v/>
      </c>
      <c r="I1567" s="18">
        <f>HYPERLINK("http://dict.youdao.com/w/"&amp;B1567,"有道")</f>
        <v/>
      </c>
    </row>
    <row customHeight="1" ht="42.75" r="1568">
      <c r="B1568" s="1" t="inlineStr">
        <is>
          <t>referee</t>
        </is>
      </c>
      <c r="C1568" s="7">
        <f>"n. 裁判员；调解人；介绍人"&amp;CHAR(10)&amp;"vi. 仲裁；担任裁判"&amp;CHAR(10)&amp;"vt. 为…当裁判；调停"</f>
        <v/>
      </c>
      <c r="G1568" s="18">
        <f>HYPERLINK("D:\python\英语学习\voices\"&amp;B1568&amp;"_1.mp3","BrE")</f>
        <v/>
      </c>
      <c r="H1568" s="18">
        <f>HYPERLINK("D:\python\英语学习\voices\"&amp;B1568&amp;"_2.mp3","AmE")</f>
        <v/>
      </c>
      <c r="I1568" s="18">
        <f>HYPERLINK("http://dict.youdao.com/w/"&amp;B1568,"有道")</f>
        <v/>
      </c>
    </row>
    <row r="1569">
      <c r="B1569" s="1" t="inlineStr">
        <is>
          <t>referent</t>
        </is>
      </c>
      <c r="C1569" s="7">
        <f>"n. 指示物；指示对象"</f>
        <v/>
      </c>
      <c r="G1569" s="18">
        <f>HYPERLINK("D:\python\英语学习\voices\"&amp;B1569&amp;"_1.mp3","BrE")</f>
        <v/>
      </c>
      <c r="H1569" s="18">
        <f>HYPERLINK("D:\python\英语学习\voices\"&amp;B1569&amp;"_2.mp3","AmE")</f>
        <v/>
      </c>
      <c r="I1569" s="18">
        <f>HYPERLINK("http://dict.youdao.com/w/"&amp;B1569,"有道")</f>
        <v/>
      </c>
    </row>
    <row r="1570">
      <c r="B1570" s="1" t="inlineStr">
        <is>
          <t>refinery</t>
        </is>
      </c>
      <c r="C1570" s="7">
        <f>"n. 精炼厂；提炼厂；冶炼厂"</f>
        <v/>
      </c>
      <c r="G1570" s="18">
        <f>HYPERLINK("D:\python\英语学习\voices\"&amp;B1570&amp;"_1.mp3","BrE")</f>
        <v/>
      </c>
      <c r="H1570" s="18">
        <f>HYPERLINK("D:\python\英语学习\voices\"&amp;B1570&amp;"_2.mp3","AmE")</f>
        <v/>
      </c>
      <c r="I1570" s="18">
        <f>HYPERLINK("http://dict.youdao.com/w/"&amp;B1570,"有道")</f>
        <v/>
      </c>
    </row>
    <row customHeight="1" ht="28.5" r="1571">
      <c r="B1571" s="1" t="inlineStr">
        <is>
          <t>reflex</t>
        </is>
      </c>
      <c r="C1571" s="7">
        <f>"n. 反射；反映；映像；回复；习惯性思维"&amp;CHAR(10)&amp;"adj. 反射的；反省的；反作用的；优角的"</f>
        <v/>
      </c>
      <c r="G1571" s="18">
        <f>HYPERLINK("D:\python\英语学习\voices\"&amp;B1571&amp;"_1.mp3","BrE")</f>
        <v/>
      </c>
      <c r="H1571" s="18">
        <f>HYPERLINK("D:\python\英语学习\voices\"&amp;B1571&amp;"_2.mp3","AmE")</f>
        <v/>
      </c>
      <c r="I1571" s="18">
        <f>HYPERLINK("http://dict.youdao.com/w/"&amp;B1571,"有道")</f>
        <v/>
      </c>
    </row>
    <row customHeight="1" ht="28.5" r="1572">
      <c r="B1572" s="1" t="inlineStr">
        <is>
          <t>refrain</t>
        </is>
      </c>
      <c r="C1572" s="7">
        <f>"vi. 节制，克制；避免；制止"&amp;CHAR(10)&amp;"n. 叠句，副歌；重复"</f>
        <v/>
      </c>
      <c r="G1572" s="18">
        <f>HYPERLINK("D:\python\英语学习\voices\"&amp;B1572&amp;"_1.mp3","BrE")</f>
        <v/>
      </c>
      <c r="H1572" s="18">
        <f>HYPERLINK("D:\python\英语学习\voices\"&amp;B1572&amp;"_2.mp3","AmE")</f>
        <v/>
      </c>
      <c r="I1572" s="18">
        <f>HYPERLINK("http://dict.youdao.com/w/"&amp;B1572,"有道")</f>
        <v/>
      </c>
    </row>
    <row customHeight="1" ht="42.75" r="1573">
      <c r="B1573" s="1" t="inlineStr">
        <is>
          <t>refresh</t>
        </is>
      </c>
      <c r="C1573" s="7">
        <f>"vt. 更新；使……恢复；使……清新；消除……的疲劳"&amp;CHAR(10)&amp;"vi. 恢复精神；喝饮料，吃点心；补充给养"</f>
        <v/>
      </c>
      <c r="G1573" s="18">
        <f>HYPERLINK("D:\python\英语学习\voices\"&amp;B1573&amp;"_1.mp3","BrE")</f>
        <v/>
      </c>
      <c r="H1573" s="18">
        <f>HYPERLINK("D:\python\英语学习\voices\"&amp;B1573&amp;"_2.mp3","AmE")</f>
        <v/>
      </c>
      <c r="I1573" s="18">
        <f>HYPERLINK("http://dict.youdao.com/w/"&amp;B1573,"有道")</f>
        <v/>
      </c>
    </row>
    <row r="1574">
      <c r="B1574" s="1" t="inlineStr">
        <is>
          <t>refreshment</t>
        </is>
      </c>
      <c r="C1574" s="7">
        <f>"n. 点心；起提神作用的东西；精力恢复"</f>
        <v/>
      </c>
      <c r="G1574" s="18">
        <f>HYPERLINK("D:\python\英语学习\voices\"&amp;B1574&amp;"_1.mp3","BrE")</f>
        <v/>
      </c>
      <c r="H1574" s="18">
        <f>HYPERLINK("D:\python\英语学习\voices\"&amp;B1574&amp;"_2.mp3","AmE")</f>
        <v/>
      </c>
      <c r="I1574" s="18">
        <f>HYPERLINK("http://dict.youdao.com/w/"&amp;B1574,"有道")</f>
        <v/>
      </c>
    </row>
    <row customHeight="1" ht="42.75" r="1575">
      <c r="B1575" s="1" t="inlineStr">
        <is>
          <t>refund</t>
        </is>
      </c>
      <c r="C1575" s="7">
        <f>"vi. 退还；偿还，归还"&amp;CHAR(10)&amp;"vt. 退还；偿还；付还"&amp;CHAR(10)&amp;"n. 退款；偿还，偿还额"</f>
        <v/>
      </c>
      <c r="G1575" s="18">
        <f>HYPERLINK("D:\python\英语学习\voices\"&amp;B1575&amp;"_1.mp3","BrE")</f>
        <v/>
      </c>
      <c r="H1575" s="18">
        <f>HYPERLINK("D:\python\英语学习\voices\"&amp;B1575&amp;"_2.mp3","AmE")</f>
        <v/>
      </c>
      <c r="I1575" s="18">
        <f>HYPERLINK("http://dict.youdao.com/w/"&amp;B1575,"有道")</f>
        <v/>
      </c>
    </row>
    <row r="1576">
      <c r="B1576" s="1" t="inlineStr">
        <is>
          <t>regime</t>
        </is>
      </c>
      <c r="C1576" s="7">
        <f>"n. 政权，政体；社会制度；管理体制"</f>
        <v/>
      </c>
      <c r="G1576" s="18">
        <f>HYPERLINK("D:\python\英语学习\voices\"&amp;B1576&amp;"_1.mp3","BrE")</f>
        <v/>
      </c>
      <c r="H1576" s="18">
        <f>HYPERLINK("D:\python\英语学习\voices\"&amp;B1576&amp;"_2.mp3","AmE")</f>
        <v/>
      </c>
      <c r="I1576" s="18">
        <f>HYPERLINK("http://dict.youdao.com/w/"&amp;B1576,"有道")</f>
        <v/>
      </c>
    </row>
    <row customHeight="1" ht="28.5" r="1577">
      <c r="B1577" s="1" t="inlineStr">
        <is>
          <t>regiment</t>
        </is>
      </c>
      <c r="C1577" s="7">
        <f>"vt. 把…编成团；严格地管制"&amp;CHAR(10)&amp;"n. 团；大量"</f>
        <v/>
      </c>
      <c r="G1577" s="18">
        <f>HYPERLINK("D:\python\英语学习\voices\"&amp;B1577&amp;"_1.mp3","BrE")</f>
        <v/>
      </c>
      <c r="H1577" s="18">
        <f>HYPERLINK("D:\python\英语学习\voices\"&amp;B1577&amp;"_2.mp3","AmE")</f>
        <v/>
      </c>
      <c r="I1577" s="18">
        <f>HYPERLINK("http://dict.youdao.com/w/"&amp;B1577,"有道")</f>
        <v/>
      </c>
    </row>
    <row r="1578">
      <c r="B1578" s="1" t="inlineStr">
        <is>
          <t>registrant</t>
        </is>
      </c>
      <c r="C1578" s="7">
        <f>"n. 登记者"</f>
        <v/>
      </c>
      <c r="G1578" s="18">
        <f>HYPERLINK("D:\python\英语学习\voices\"&amp;B1578&amp;"_1.mp3","BrE")</f>
        <v/>
      </c>
      <c r="H1578" s="18">
        <f>HYPERLINK("D:\python\英语学习\voices\"&amp;B1578&amp;"_2.mp3","AmE")</f>
        <v/>
      </c>
      <c r="I1578" s="18">
        <f>HYPERLINK("http://dict.youdao.com/w/"&amp;B1578,"有道")</f>
        <v/>
      </c>
    </row>
    <row customHeight="1" ht="29.1" r="1579">
      <c r="B1579" s="1" t="inlineStr">
        <is>
          <t>regrettable</t>
        </is>
      </c>
      <c r="C1579" s="7">
        <f>"adj. 令人遗憾的；可惜的；可悲的；抱歉的"</f>
        <v/>
      </c>
      <c r="G1579" s="18">
        <f>HYPERLINK("D:\python\英语学习\voices\"&amp;B1579&amp;"_1.mp3","BrE")</f>
        <v/>
      </c>
      <c r="H1579" s="18">
        <f>HYPERLINK("D:\python\英语学习\voices\"&amp;B1579&amp;"_2.mp3","AmE")</f>
        <v/>
      </c>
      <c r="I1579" s="18">
        <f>HYPERLINK("http://dict.youdao.com/w/"&amp;B1579,"有道")</f>
        <v/>
      </c>
    </row>
    <row customHeight="1" ht="29.1" r="1580">
      <c r="B1580" s="1" t="inlineStr">
        <is>
          <t>regulate</t>
        </is>
      </c>
      <c r="C1580" s="7">
        <f>"vt. 调节，规定；控制；校准；有系统地管理"</f>
        <v/>
      </c>
      <c r="G1580" s="18">
        <f>HYPERLINK("D:\python\英语学习\voices\"&amp;B1580&amp;"_1.mp3","BrE")</f>
        <v/>
      </c>
      <c r="H1580" s="18">
        <f>HYPERLINK("D:\python\英语学习\voices\"&amp;B1580&amp;"_2.mp3","AmE")</f>
        <v/>
      </c>
      <c r="I1580" s="18">
        <f>HYPERLINK("http://dict.youdao.com/w/"&amp;B1580,"有道")</f>
        <v/>
      </c>
    </row>
    <row r="1581">
      <c r="B1581" s="1" t="inlineStr">
        <is>
          <t>regulator</t>
        </is>
      </c>
      <c r="C1581" s="7">
        <f>"n. 调整者；监管者；校准器"</f>
        <v/>
      </c>
      <c r="G1581" s="18">
        <f>HYPERLINK("D:\python\英语学习\voices\"&amp;B1581&amp;"_1.mp3","BrE")</f>
        <v/>
      </c>
      <c r="H1581" s="18">
        <f>HYPERLINK("D:\python\英语学习\voices\"&amp;B1581&amp;"_2.mp3","AmE")</f>
        <v/>
      </c>
      <c r="I1581" s="18">
        <f>HYPERLINK("http://dict.youdao.com/w/"&amp;B1581,"有道")</f>
        <v/>
      </c>
    </row>
    <row customHeight="1" ht="71.25" r="1582">
      <c r="B1582" s="1" t="inlineStr">
        <is>
          <t>rein</t>
        </is>
      </c>
      <c r="C1582" s="7">
        <f>"n. 缰绳；驾驭；统治；支配"&amp;CHAR(10)&amp;"vt. 控制；驾驭；勒住"&amp;CHAR(10)&amp;"vi. 勒住马"&amp;CHAR(10)&amp;"n. (Rein)人名；(西、阿拉伯)雷因；(法)兰；(英、荷、捷、德、芬、瑞典)赖因；(爱沙)雷恩"</f>
        <v/>
      </c>
      <c r="G1582" s="18">
        <f>HYPERLINK("D:\python\英语学习\voices\"&amp;B1582&amp;"_1.mp3","BrE")</f>
        <v/>
      </c>
      <c r="H1582" s="18">
        <f>HYPERLINK("D:\python\英语学习\voices\"&amp;B1582&amp;"_2.mp3","AmE")</f>
        <v/>
      </c>
      <c r="I1582" s="18">
        <f>HYPERLINK("http://dict.youdao.com/w/"&amp;B1582,"有道")</f>
        <v/>
      </c>
    </row>
    <row r="1583">
      <c r="B1583" s="1" t="inlineStr">
        <is>
          <t>reiterate</t>
        </is>
      </c>
      <c r="C1583" s="7">
        <f>"vt. 重申；反复地做"</f>
        <v/>
      </c>
      <c r="G1583" s="18">
        <f>HYPERLINK("D:\python\英语学习\voices\"&amp;B1583&amp;"_1.mp3","BrE")</f>
        <v/>
      </c>
      <c r="H1583" s="18">
        <f>HYPERLINK("D:\python\英语学习\voices\"&amp;B1583&amp;"_2.mp3","AmE")</f>
        <v/>
      </c>
      <c r="I1583" s="18">
        <f>HYPERLINK("http://dict.youdao.com/w/"&amp;B1583,"有道")</f>
        <v/>
      </c>
    </row>
    <row customHeight="1" ht="28.5" r="1584">
      <c r="A1584" s="1" t="inlineStr">
        <is>
          <t>practice</t>
        </is>
      </c>
      <c r="B1584" s="1" t="inlineStr">
        <is>
          <t>entice</t>
        </is>
      </c>
      <c r="C1584" s="7">
        <f>"vt. 诱使；怂恿"</f>
        <v/>
      </c>
      <c r="E1584" s="16" t="inlineStr">
        <is>
          <t>entice sb into doing sth</t>
        </is>
      </c>
      <c r="G1584" s="18">
        <f>HYPERLINK("D:\python\英语学习\voices\"&amp;B1584&amp;"_1.mp3","BrE")</f>
        <v/>
      </c>
      <c r="H1584" s="18">
        <f>HYPERLINK("D:\python\英语学习\voices\"&amp;B1584&amp;"_2.mp3","AmE")</f>
        <v/>
      </c>
      <c r="I1584" s="18">
        <f>HYPERLINK("http://dict.youdao.com/w/"&amp;B1584,"有道")</f>
        <v/>
      </c>
    </row>
    <row customHeight="1" ht="42.75" r="1585">
      <c r="B1585" s="1" t="inlineStr">
        <is>
          <t>relay</t>
        </is>
      </c>
      <c r="C1585" s="7">
        <f>"vi. 转播；接替"&amp;CHAR(10)&amp;"n. [电] 继电器；接替，接替人员；驿马"&amp;CHAR(10)&amp;"vt. 转播；使接替；分程传递"</f>
        <v/>
      </c>
      <c r="G1585" s="18">
        <f>HYPERLINK("D:\python\英语学习\voices\"&amp;B1585&amp;"_1.mp3","BrE")</f>
        <v/>
      </c>
      <c r="H1585" s="18">
        <f>HYPERLINK("D:\python\英语学习\voices\"&amp;B1585&amp;"_2.mp3","AmE")</f>
        <v/>
      </c>
      <c r="I1585" s="18">
        <f>HYPERLINK("http://dict.youdao.com/w/"&amp;B1585,"有道")</f>
        <v/>
      </c>
    </row>
    <row customHeight="1" ht="28.5" r="1586">
      <c r="A1586" s="1" t="inlineStr">
        <is>
          <t>practice</t>
        </is>
      </c>
      <c r="B1586" s="1" t="inlineStr">
        <is>
          <t>ephemeral</t>
        </is>
      </c>
      <c r="C1586" s="7">
        <f>"adj. 短暂的；朝生暮死的"&amp;CHAR(10)&amp;"n. 只生存一天的事物"</f>
        <v/>
      </c>
      <c r="G1586" s="18">
        <f>HYPERLINK("D:\python\英语学习\voices\"&amp;B1586&amp;"_1.mp3","BrE")</f>
        <v/>
      </c>
      <c r="H1586" s="18">
        <f>HYPERLINK("D:\python\英语学习\voices\"&amp;B1586&amp;"_2.mp3","AmE")</f>
        <v/>
      </c>
      <c r="I1586" s="18">
        <f>HYPERLINK("http://dict.youdao.com/w/"&amp;B1586,"有道")</f>
        <v/>
      </c>
    </row>
    <row r="1587">
      <c r="B1587" s="1" t="inlineStr">
        <is>
          <t>reliance</t>
        </is>
      </c>
      <c r="C1587" s="7">
        <f>"n. 信赖；信心；受信赖的人或物"</f>
        <v/>
      </c>
      <c r="G1587" s="18">
        <f>HYPERLINK("D:\python\英语学习\voices\"&amp;B1587&amp;"_1.mp3","BrE")</f>
        <v/>
      </c>
      <c r="H1587" s="18">
        <f>HYPERLINK("D:\python\英语学习\voices\"&amp;B1587&amp;"_2.mp3","AmE")</f>
        <v/>
      </c>
      <c r="I1587" s="18">
        <f>HYPERLINK("http://dict.youdao.com/w/"&amp;B1587,"有道")</f>
        <v/>
      </c>
    </row>
    <row customHeight="1" ht="57" r="1588">
      <c r="B1588" s="1" t="inlineStr">
        <is>
          <t>relish</t>
        </is>
      </c>
      <c r="C1588" s="7">
        <f>"n. 滋味；风味；食欲；开胃小菜；含义；调味品"&amp;CHAR(10)&amp;"vt. 盼望;期待;享受; 品味；喜爱；给…加佐料"&amp;CHAR(10)&amp;"vi. 有特定意味；味道可口"</f>
        <v/>
      </c>
      <c r="F1588" s="15">
        <f>"This young man relishes chanllenges in life."</f>
        <v/>
      </c>
      <c r="G1588" s="18">
        <f>HYPERLINK("D:\python\英语学习\voices\"&amp;B1588&amp;"_1.mp3","BrE")</f>
        <v/>
      </c>
      <c r="H1588" s="18">
        <f>HYPERLINK("D:\python\英语学习\voices\"&amp;B1588&amp;"_2.mp3","AmE")</f>
        <v/>
      </c>
      <c r="I1588" s="18">
        <f>HYPERLINK("http://dict.youdao.com/w/"&amp;B1588,"有道")</f>
        <v/>
      </c>
    </row>
    <row customHeight="1" ht="57" r="1589">
      <c r="B1589" s="1" t="inlineStr">
        <is>
          <t>remainder</t>
        </is>
      </c>
      <c r="C1589" s="7">
        <f>"n. [数] 余数，残余；剩余物；其余的人"&amp;CHAR(10)&amp;"adj. 剩余的；吃剩的"&amp;CHAR(10)&amp;"vt. 廉价出售；削价出售"&amp;CHAR(10)&amp;"vi. 廉价出售；削价出售"</f>
        <v/>
      </c>
      <c r="G1589" s="18">
        <f>HYPERLINK("D:\python\英语学习\voices\"&amp;B1589&amp;"_1.mp3","BrE")</f>
        <v/>
      </c>
      <c r="H1589" s="18">
        <f>HYPERLINK("D:\python\英语学习\voices\"&amp;B1589&amp;"_2.mp3","AmE")</f>
        <v/>
      </c>
      <c r="I1589" s="18">
        <f>HYPERLINK("http://dict.youdao.com/w/"&amp;B1589,"有道")</f>
        <v/>
      </c>
    </row>
    <row customHeight="1" ht="28.5" r="1590">
      <c r="A1590" s="1" t="inlineStr">
        <is>
          <t>practice</t>
        </is>
      </c>
      <c r="B1590" s="1" t="inlineStr">
        <is>
          <t>exquisite</t>
        </is>
      </c>
      <c r="C1590" s="7">
        <f>"adj. 精致的；细腻的；优美的，高雅的；异常的；剧烈的"&amp;CHAR(10)&amp;"n. 服饰过于讲究的男子"</f>
        <v/>
      </c>
      <c r="G1590" s="18">
        <f>HYPERLINK("D:\python\英语学习\voices\"&amp;B1590&amp;"_1.mp3","BrE")</f>
        <v/>
      </c>
      <c r="H1590" s="18">
        <f>HYPERLINK("D:\python\英语学习\voices\"&amp;B1590&amp;"_2.mp3","AmE")</f>
        <v/>
      </c>
      <c r="I1590" s="18">
        <f>HYPERLINK("http://dict.youdao.com/w/"&amp;B1590,"有道")</f>
        <v/>
      </c>
    </row>
    <row customHeight="1" ht="42.75" r="1591">
      <c r="B1591" s="1" t="inlineStr">
        <is>
          <t>remnant</t>
        </is>
      </c>
      <c r="C1591" s="7">
        <f>"n. 剩余"&amp;CHAR(10)&amp;"adj. 剩余的"&amp;CHAR(10)&amp;"n. (Remnant)人名；(英)雷姆南特"</f>
        <v/>
      </c>
      <c r="G1591" s="18">
        <f>HYPERLINK("D:\python\英语学习\voices\"&amp;B1591&amp;"_1.mp3","BrE")</f>
        <v/>
      </c>
      <c r="H1591" s="18">
        <f>HYPERLINK("D:\python\英语学习\voices\"&amp;B1591&amp;"_2.mp3","AmE")</f>
        <v/>
      </c>
      <c r="I1591" s="18">
        <f>HYPERLINK("http://dict.youdao.com/w/"&amp;B1591,"有道")</f>
        <v/>
      </c>
    </row>
    <row customHeight="1" ht="42.75" r="1592">
      <c r="B1592" s="1" t="inlineStr">
        <is>
          <t>remove</t>
        </is>
      </c>
      <c r="C1592" s="7">
        <f>"vt. 移动，迁移；开除；调动"&amp;CHAR(10)&amp;"vi. 移动，迁移；搬家"&amp;CHAR(10)&amp;"n. 移动；距离；搬家"</f>
        <v/>
      </c>
      <c r="E1592" s="6" t="inlineStr">
        <is>
          <t>好多意思</t>
        </is>
      </c>
      <c r="G1592" s="18">
        <f>HYPERLINK("D:\python\英语学习\voices\"&amp;B1592&amp;"_1.mp3","BrE")</f>
        <v/>
      </c>
      <c r="H1592" s="18">
        <f>HYPERLINK("D:\python\英语学习\voices\"&amp;B1592&amp;"_2.mp3","AmE")</f>
        <v/>
      </c>
      <c r="I1592" s="18">
        <f>HYPERLINK("http://dict.youdao.com/w/"&amp;B1592,"有道")</f>
        <v/>
      </c>
    </row>
    <row r="1593">
      <c r="B1593" s="1" t="inlineStr">
        <is>
          <t>renovate</t>
        </is>
      </c>
      <c r="C1593" s="7">
        <f>"vt. 更新；修复；革新；刷新"</f>
        <v/>
      </c>
      <c r="G1593" s="18">
        <f>HYPERLINK("D:\python\英语学习\voices\"&amp;B1593&amp;"_1.mp3","BrE")</f>
        <v/>
      </c>
      <c r="H1593" s="18">
        <f>HYPERLINK("D:\python\英语学习\voices\"&amp;B1593&amp;"_2.mp3","AmE")</f>
        <v/>
      </c>
      <c r="I1593" s="18">
        <f>HYPERLINK("http://dict.youdao.com/w/"&amp;B1593,"有道")</f>
        <v/>
      </c>
    </row>
    <row customHeight="1" ht="28.5" r="1594">
      <c r="B1594" s="1" t="inlineStr">
        <is>
          <t>renown</t>
        </is>
      </c>
      <c r="C1594" s="7">
        <f>"n. 声誉；名望"&amp;CHAR(10)&amp;"vt. 使有声望"</f>
        <v/>
      </c>
      <c r="G1594" s="18">
        <f>HYPERLINK("D:\python\英语学习\voices\"&amp;B1594&amp;"_1.mp3","BrE")</f>
        <v/>
      </c>
      <c r="H1594" s="18">
        <f>HYPERLINK("D:\python\英语学习\voices\"&amp;B1594&amp;"_2.mp3","AmE")</f>
        <v/>
      </c>
      <c r="I1594" s="18">
        <f>HYPERLINK("http://dict.youdao.com/w/"&amp;B1594,"有道")</f>
        <v/>
      </c>
    </row>
    <row customHeight="1" ht="28.5" r="1595">
      <c r="B1595" s="1" t="inlineStr">
        <is>
          <t>repeal</t>
        </is>
      </c>
      <c r="C1595" s="7">
        <f>"vt. 废除；撤销；废止；放弃；否定"&amp;CHAR(10)&amp;"n. 废除；撤销"</f>
        <v/>
      </c>
      <c r="G1595" s="18">
        <f>HYPERLINK("D:\python\英语学习\voices\"&amp;B1595&amp;"_1.mp3","BrE")</f>
        <v/>
      </c>
      <c r="H1595" s="18">
        <f>HYPERLINK("D:\python\英语学习\voices\"&amp;B1595&amp;"_2.mp3","AmE")</f>
        <v/>
      </c>
      <c r="I1595" s="18">
        <f>HYPERLINK("http://dict.youdao.com/w/"&amp;B1595,"有道")</f>
        <v/>
      </c>
    </row>
    <row r="1596">
      <c r="B1596" s="1" t="inlineStr">
        <is>
          <t>repel</t>
        </is>
      </c>
      <c r="C1596" s="7">
        <f>"vt. 击退；抵制；使厌恶；使不愉快"</f>
        <v/>
      </c>
      <c r="G1596" s="18">
        <f>HYPERLINK("D:\python\英语学习\voices\"&amp;B1596&amp;"_1.mp3","BrE")</f>
        <v/>
      </c>
      <c r="H1596" s="18">
        <f>HYPERLINK("D:\python\英语学习\voices\"&amp;B1596&amp;"_2.mp3","AmE")</f>
        <v/>
      </c>
      <c r="I1596" s="18">
        <f>HYPERLINK("http://dict.youdao.com/w/"&amp;B1596,"有道")</f>
        <v/>
      </c>
    </row>
    <row customHeight="1" ht="28.5" r="1597">
      <c r="B1597" s="1" t="inlineStr">
        <is>
          <t>repertoire</t>
        </is>
      </c>
      <c r="C1597" s="7">
        <f>"n. 全部节目；计算机指令系统；（美）某人或机器的全部技能"</f>
        <v/>
      </c>
      <c r="G1597" s="18">
        <f>HYPERLINK("D:\python\英语学习\voices\"&amp;B1597&amp;"_1.mp3","BrE")</f>
        <v/>
      </c>
      <c r="H1597" s="18">
        <f>HYPERLINK("D:\python\英语学习\voices\"&amp;B1597&amp;"_2.mp3","AmE")</f>
        <v/>
      </c>
      <c r="I1597" s="18">
        <f>HYPERLINK("http://dict.youdao.com/w/"&amp;B1597,"有道")</f>
        <v/>
      </c>
    </row>
    <row r="1598">
      <c r="B1598" s="1" t="inlineStr">
        <is>
          <t>repetitive</t>
        </is>
      </c>
      <c r="C1598" s="7">
        <f>"adj. 重复的"</f>
        <v/>
      </c>
      <c r="G1598" s="18">
        <f>HYPERLINK("D:\python\英语学习\voices\"&amp;B1598&amp;"_1.mp3","BrE")</f>
        <v/>
      </c>
      <c r="H1598" s="18">
        <f>HYPERLINK("D:\python\英语学习\voices\"&amp;B1598&amp;"_2.mp3","AmE")</f>
        <v/>
      </c>
      <c r="I1598" s="18">
        <f>HYPERLINK("http://dict.youdao.com/w/"&amp;B1598,"有道")</f>
        <v/>
      </c>
    </row>
    <row r="1599">
      <c r="B1599" s="1" t="inlineStr">
        <is>
          <t>replication</t>
        </is>
      </c>
      <c r="C1599" s="7">
        <f>"n. 复制；回答；反响"</f>
        <v/>
      </c>
      <c r="G1599" s="18">
        <f>HYPERLINK("D:\python\英语学习\voices\"&amp;B1599&amp;"_1.mp3","BrE")</f>
        <v/>
      </c>
      <c r="H1599" s="18">
        <f>HYPERLINK("D:\python\英语学习\voices\"&amp;B1599&amp;"_2.mp3","AmE")</f>
        <v/>
      </c>
      <c r="I1599" s="18">
        <f>HYPERLINK("http://dict.youdao.com/w/"&amp;B1599,"有道")</f>
        <v/>
      </c>
    </row>
    <row customHeight="1" ht="28.5" r="1600">
      <c r="A1600" s="1" t="inlineStr">
        <is>
          <t>practice</t>
        </is>
      </c>
      <c r="B1600" s="1" t="inlineStr">
        <is>
          <t>exterior</t>
        </is>
      </c>
      <c r="C1600" s="7">
        <f>"adj. 外部的；表面的；外在的"&amp;CHAR(10)&amp;"n. 外部；表面；外型；外貌"</f>
        <v/>
      </c>
      <c r="E1600" s="16" t="inlineStr">
        <is>
          <t>interior-exterior 写作中可以用于排比</t>
        </is>
      </c>
      <c r="G1600" s="18">
        <f>HYPERLINK("D:\python\英语学习\voices\"&amp;B1600&amp;"_1.mp3","BrE")</f>
        <v/>
      </c>
      <c r="H1600" s="18">
        <f>HYPERLINK("D:\python\英语学习\voices\"&amp;B1600&amp;"_2.mp3","AmE")</f>
        <v/>
      </c>
      <c r="I1600" s="18">
        <f>HYPERLINK("http://dict.youdao.com/w/"&amp;B1600,"有道")</f>
        <v/>
      </c>
    </row>
    <row customHeight="1" ht="28.5" r="1601">
      <c r="B1601" s="1" t="inlineStr">
        <is>
          <t>reprint</t>
        </is>
      </c>
      <c r="C1601" s="7">
        <f>"vt. 再版；重印"&amp;CHAR(10)&amp;"n. 重印；翻版"</f>
        <v/>
      </c>
      <c r="G1601" s="18">
        <f>HYPERLINK("D:\python\英语学习\voices\"&amp;B1601&amp;"_1.mp3","BrE")</f>
        <v/>
      </c>
      <c r="H1601" s="18">
        <f>HYPERLINK("D:\python\英语学习\voices\"&amp;B1601&amp;"_2.mp3","AmE")</f>
        <v/>
      </c>
      <c r="I1601" s="18">
        <f>HYPERLINK("http://dict.youdao.com/w/"&amp;B1601,"有道")</f>
        <v/>
      </c>
    </row>
    <row customHeight="1" ht="28.5" r="1602">
      <c r="A1602" t="inlineStr">
        <is>
          <t>practice</t>
        </is>
      </c>
      <c r="B1602" s="1" t="inlineStr">
        <is>
          <t>feeble</t>
        </is>
      </c>
      <c r="C1602" s="7">
        <f>"adj. 微弱的，无力的；虚弱的；薄弱的"</f>
        <v/>
      </c>
      <c r="G1602" s="18">
        <f>HYPERLINK("D:\python\英语学习\voices\"&amp;B1602&amp;"_1.mp3","BrE")</f>
        <v/>
      </c>
      <c r="H1602" s="18">
        <f>HYPERLINK("D:\python\英语学习\voices\"&amp;B1602&amp;"_2.mp3","AmE")</f>
        <v/>
      </c>
      <c r="I1602" s="18">
        <f>HYPERLINK("http://dict.youdao.com/w/"&amp;B1602,"有道")</f>
        <v/>
      </c>
    </row>
    <row r="1603">
      <c r="B1603" s="1" t="inlineStr">
        <is>
          <t>reproduction</t>
        </is>
      </c>
      <c r="C1603" s="7">
        <f>"n. 繁殖，生殖；复制；复制品"</f>
        <v/>
      </c>
      <c r="G1603" s="18">
        <f>HYPERLINK("D:\python\英语学习\voices\"&amp;B1603&amp;"_1.mp3","BrE")</f>
        <v/>
      </c>
      <c r="H1603" s="18">
        <f>HYPERLINK("D:\python\英语学习\voices\"&amp;B1603&amp;"_2.mp3","AmE")</f>
        <v/>
      </c>
      <c r="I1603" s="18">
        <f>HYPERLINK("http://dict.youdao.com/w/"&amp;B1603,"有道")</f>
        <v/>
      </c>
    </row>
    <row customHeight="1" ht="28.5" r="1604">
      <c r="B1604" s="1" t="inlineStr">
        <is>
          <t>requisite</t>
        </is>
      </c>
      <c r="C1604" s="7">
        <f>"adj. 必备的，必不可少的；需要的"&amp;CHAR(10)&amp;"n. 必需品"</f>
        <v/>
      </c>
      <c r="G1604" s="18">
        <f>HYPERLINK("D:\python\英语学习\voices\"&amp;B1604&amp;"_1.mp3","BrE")</f>
        <v/>
      </c>
      <c r="H1604" s="18">
        <f>HYPERLINK("D:\python\英语学习\voices\"&amp;B1604&amp;"_2.mp3","AmE")</f>
        <v/>
      </c>
      <c r="I1604" s="18">
        <f>HYPERLINK("http://dict.youdao.com/w/"&amp;B1604,"有道")</f>
        <v/>
      </c>
    </row>
    <row r="1605">
      <c r="B1605" s="1" t="inlineStr">
        <is>
          <t>resemblance</t>
        </is>
      </c>
      <c r="C1605" s="7">
        <f>"n. 相似；相似之处；相似物；肖像"</f>
        <v/>
      </c>
      <c r="G1605" s="18">
        <f>HYPERLINK("D:\python\英语学习\voices\"&amp;B1605&amp;"_1.mp3","BrE")</f>
        <v/>
      </c>
      <c r="H1605" s="18">
        <f>HYPERLINK("D:\python\英语学习\voices\"&amp;B1605&amp;"_2.mp3","AmE")</f>
        <v/>
      </c>
      <c r="I1605" s="18">
        <f>HYPERLINK("http://dict.youdao.com/w/"&amp;B1605,"有道")</f>
        <v/>
      </c>
    </row>
    <row customHeight="1" ht="42.75" r="1606">
      <c r="B1606" s="1" t="inlineStr">
        <is>
          <t>resign</t>
        </is>
      </c>
      <c r="C1606" s="7">
        <f>"vt. 辞职；放弃；委托；使听从"&amp;CHAR(10)&amp;"vi. 辞职"&amp;CHAR(10)&amp;"n. 辞去职务"</f>
        <v/>
      </c>
      <c r="G1606" s="18">
        <f>HYPERLINK("D:\python\英语学习\voices\"&amp;B1606&amp;"_1.mp3","BrE")</f>
        <v/>
      </c>
      <c r="H1606" s="18">
        <f>HYPERLINK("D:\python\英语学习\voices\"&amp;B1606&amp;"_2.mp3","AmE")</f>
        <v/>
      </c>
      <c r="I1606" s="18">
        <f>HYPERLINK("http://dict.youdao.com/w/"&amp;B1606,"有道")</f>
        <v/>
      </c>
    </row>
    <row r="1607">
      <c r="B1607" s="1" t="inlineStr">
        <is>
          <t>resilience</t>
        </is>
      </c>
      <c r="C1607" s="7">
        <f>"n. 恢复力；弹力；顺应力"</f>
        <v/>
      </c>
      <c r="G1607" s="18">
        <f>HYPERLINK("D:\python\英语学习\voices\"&amp;B1607&amp;"_1.mp3","BrE")</f>
        <v/>
      </c>
      <c r="H1607" s="18">
        <f>HYPERLINK("D:\python\英语学习\voices\"&amp;B1607&amp;"_2.mp3","AmE")</f>
        <v/>
      </c>
      <c r="I1607" s="18">
        <f>HYPERLINK("http://dict.youdao.com/w/"&amp;B1607,"有道")</f>
        <v/>
      </c>
    </row>
    <row r="1608">
      <c r="A1608" s="1" t="inlineStr">
        <is>
          <t>practice</t>
        </is>
      </c>
      <c r="B1608" s="1" t="inlineStr">
        <is>
          <t>fellowship</t>
        </is>
      </c>
      <c r="C1608" s="7">
        <f>"n. 团体；友谊；奖学金；研究员职位"</f>
        <v/>
      </c>
      <c r="E1608" s="6" t="inlineStr">
        <is>
          <t>助学金--来自与学校关系不大的团体</t>
        </is>
      </c>
      <c r="G1608" s="18">
        <f>HYPERLINK("D:\python\英语学习\voices\"&amp;B1608&amp;"_1.mp3","BrE")</f>
        <v/>
      </c>
      <c r="H1608" s="18">
        <f>HYPERLINK("D:\python\英语学习\voices\"&amp;B1608&amp;"_2.mp3","AmE")</f>
        <v/>
      </c>
      <c r="I1608" s="18">
        <f>HYPERLINK("http://dict.youdao.com/w/"&amp;B1608,"有道")</f>
        <v/>
      </c>
    </row>
    <row customHeight="1" ht="28.5" r="1609">
      <c r="B1609" s="1" t="inlineStr">
        <is>
          <t>resound</t>
        </is>
      </c>
      <c r="C1609" s="7">
        <f>"vi. 回响；鸣响；被传颂"&amp;CHAR(10)&amp;"vt. 回响；传颂；大声讲"</f>
        <v/>
      </c>
      <c r="G1609" s="18">
        <f>HYPERLINK("D:\python\英语学习\voices\"&amp;B1609&amp;"_1.mp3","BrE")</f>
        <v/>
      </c>
      <c r="H1609" s="18">
        <f>HYPERLINK("D:\python\英语学习\voices\"&amp;B1609&amp;"_2.mp3","AmE")</f>
        <v/>
      </c>
      <c r="I1609" s="18">
        <f>HYPERLINK("http://dict.youdao.com/w/"&amp;B1609,"有道")</f>
        <v/>
      </c>
    </row>
    <row customHeight="1" ht="29.1" r="1610">
      <c r="B1610" s="1" t="inlineStr">
        <is>
          <t>restless</t>
        </is>
      </c>
      <c r="C1610" s="7">
        <f>"adj. 焦躁不安的；不安宁的；得不到满足的"</f>
        <v/>
      </c>
      <c r="G1610" s="18">
        <f>HYPERLINK("D:\python\英语学习\voices\"&amp;B1610&amp;"_1.mp3","BrE")</f>
        <v/>
      </c>
      <c r="H1610" s="18">
        <f>HYPERLINK("D:\python\英语学习\voices\"&amp;B1610&amp;"_2.mp3","AmE")</f>
        <v/>
      </c>
      <c r="I1610" s="18">
        <f>HYPERLINK("http://dict.youdao.com/w/"&amp;B1610,"有道")</f>
        <v/>
      </c>
    </row>
    <row r="1611">
      <c r="B1611" s="1" t="inlineStr">
        <is>
          <t>restrain</t>
        </is>
      </c>
      <c r="C1611" s="7">
        <f>"vt. 抑制，控制；约束；制止"</f>
        <v/>
      </c>
      <c r="G1611" s="18">
        <f>HYPERLINK("D:\python\英语学习\voices\"&amp;B1611&amp;"_1.mp3","BrE")</f>
        <v/>
      </c>
      <c r="H1611" s="18">
        <f>HYPERLINK("D:\python\英语学习\voices\"&amp;B1611&amp;"_2.mp3","AmE")</f>
        <v/>
      </c>
      <c r="I1611" s="18">
        <f>HYPERLINK("http://dict.youdao.com/w/"&amp;B1611,"有道")</f>
        <v/>
      </c>
    </row>
    <row customHeight="1" ht="28.5" r="1612">
      <c r="B1612" s="1" t="inlineStr">
        <is>
          <t>resultant</t>
        </is>
      </c>
      <c r="C1612" s="7">
        <f>"n. 合力；结果；[化学] 生成物"&amp;CHAR(10)&amp;"adj. 结果的；合成的"</f>
        <v/>
      </c>
      <c r="G1612" s="18">
        <f>HYPERLINK("D:\python\英语学习\voices\"&amp;B1612&amp;"_1.mp3","BrE")</f>
        <v/>
      </c>
      <c r="H1612" s="18">
        <f>HYPERLINK("D:\python\英语学习\voices\"&amp;B1612&amp;"_2.mp3","AmE")</f>
        <v/>
      </c>
      <c r="I1612" s="18">
        <f>HYPERLINK("http://dict.youdao.com/w/"&amp;B1612,"有道")</f>
        <v/>
      </c>
    </row>
    <row customHeight="1" ht="85.5" r="1613">
      <c r="B1613" s="1" t="inlineStr">
        <is>
          <t>retail</t>
        </is>
      </c>
      <c r="C1613" s="7">
        <f>"vt. 零售；转述"&amp;CHAR(10)&amp;"vi. 零售"&amp;CHAR(10)&amp;"n. 零售"&amp;CHAR(10)&amp;"adv. 以零售方式"&amp;CHAR(10)&amp;"adj. 零售的"&amp;CHAR(10)&amp;"n. (Retail)人名；(法)勒塔伊"</f>
        <v/>
      </c>
      <c r="G1613" s="18">
        <f>HYPERLINK("D:\python\英语学习\voices\"&amp;B1613&amp;"_1.mp3","BrE")</f>
        <v/>
      </c>
      <c r="H1613" s="18">
        <f>HYPERLINK("D:\python\英语学习\voices\"&amp;B1613&amp;"_2.mp3","AmE")</f>
        <v/>
      </c>
      <c r="I1613" s="18">
        <f>HYPERLINK("http://dict.youdao.com/w/"&amp;B1613,"有道")</f>
        <v/>
      </c>
    </row>
    <row r="1614">
      <c r="B1614" s="1" t="inlineStr">
        <is>
          <t>retain</t>
        </is>
      </c>
      <c r="C1614" s="7">
        <f>"vt. 保持；雇；记住"</f>
        <v/>
      </c>
      <c r="G1614" s="18">
        <f>HYPERLINK("D:\python\英语学习\voices\"&amp;B1614&amp;"_1.mp3","BrE")</f>
        <v/>
      </c>
      <c r="H1614" s="18">
        <f>HYPERLINK("D:\python\英语学习\voices\"&amp;B1614&amp;"_2.mp3","AmE")</f>
        <v/>
      </c>
      <c r="I1614" s="18">
        <f>HYPERLINK("http://dict.youdao.com/w/"&amp;B1614,"有道")</f>
        <v/>
      </c>
    </row>
    <row customHeight="1" ht="42.75" r="1615">
      <c r="B1615" s="1" t="inlineStr">
        <is>
          <t>retard</t>
        </is>
      </c>
      <c r="C1615" s="7">
        <f>"vt. 延迟；阻止；妨碍；使减速"&amp;CHAR(10)&amp;"vi. 减慢；受到阻滞"&amp;CHAR(10)&amp;"n. 延迟；阻止"</f>
        <v/>
      </c>
      <c r="E1615" s="6" t="inlineStr">
        <is>
          <t>弱智</t>
        </is>
      </c>
      <c r="G1615" s="18">
        <f>HYPERLINK("D:\python\英语学习\voices\"&amp;B1615&amp;"_1.mp3","BrE")</f>
        <v/>
      </c>
      <c r="H1615" s="18">
        <f>HYPERLINK("D:\python\英语学习\voices\"&amp;B1615&amp;"_2.mp3","AmE")</f>
        <v/>
      </c>
      <c r="I1615" s="18">
        <f>HYPERLINK("http://dict.youdao.com/w/"&amp;B1615,"有道")</f>
        <v/>
      </c>
    </row>
    <row r="1616">
      <c r="B1616" s="1" t="inlineStr">
        <is>
          <t>retention</t>
        </is>
      </c>
      <c r="C1616" s="7">
        <f>"n. 保留；扣留，滞留；记忆力；闭尿"</f>
        <v/>
      </c>
      <c r="D1616" s="6" t="inlineStr">
        <is>
          <t>retain</t>
        </is>
      </c>
      <c r="G1616" s="18">
        <f>HYPERLINK("D:\python\英语学习\voices\"&amp;B1616&amp;"_1.mp3","BrE")</f>
        <v/>
      </c>
      <c r="H1616" s="18">
        <f>HYPERLINK("D:\python\英语学习\voices\"&amp;B1616&amp;"_2.mp3","AmE")</f>
        <v/>
      </c>
      <c r="I1616" s="18">
        <f>HYPERLINK("http://dict.youdao.com/w/"&amp;B1616,"有道")</f>
        <v/>
      </c>
    </row>
    <row customHeight="1" ht="42.75" r="1617">
      <c r="A1617" s="1" t="inlineStr">
        <is>
          <t>practice</t>
        </is>
      </c>
      <c r="B1617" s="1" t="inlineStr">
        <is>
          <t>formidable</t>
        </is>
      </c>
      <c r="C1617" s="7">
        <f>"adj. 强大的；可怕的；令人敬畏的；艰难的"</f>
        <v/>
      </c>
      <c r="F1617" s="7">
        <f>"the two players together make a formidable combination"</f>
        <v/>
      </c>
      <c r="G1617" s="18">
        <f>HYPERLINK("D:\python\英语学习\voices\"&amp;B1617&amp;"_1.mp3","BrE")</f>
        <v/>
      </c>
      <c r="H1617" s="18">
        <f>HYPERLINK("D:\python\英语学习\voices\"&amp;B1617&amp;"_2.mp3","AmE")</f>
        <v/>
      </c>
      <c r="I1617" s="18">
        <f>HYPERLINK("http://dict.youdao.com/w/"&amp;B1617,"有道")</f>
        <v/>
      </c>
    </row>
    <row r="1618">
      <c r="B1618" s="1" t="inlineStr">
        <is>
          <t>retrieval</t>
        </is>
      </c>
      <c r="C1618" s="7">
        <f>"n. 检索；恢复；取回；拯救"</f>
        <v/>
      </c>
      <c r="G1618" s="18">
        <f>HYPERLINK("D:\python\英语学习\voices\"&amp;B1618&amp;"_1.mp3","BrE")</f>
        <v/>
      </c>
      <c r="H1618" s="18">
        <f>HYPERLINK("D:\python\英语学习\voices\"&amp;B1618&amp;"_2.mp3","AmE")</f>
        <v/>
      </c>
      <c r="I1618" s="18">
        <f>HYPERLINK("http://dict.youdao.com/w/"&amp;B1618,"有道")</f>
        <v/>
      </c>
    </row>
    <row customHeight="1" ht="42.75" r="1619">
      <c r="B1619" s="1" t="inlineStr">
        <is>
          <t>retrospect</t>
        </is>
      </c>
      <c r="C1619" s="7">
        <f>"n. 回顾，追溯"&amp;CHAR(10)&amp;"vi. 回顾，追溯；回想"&amp;CHAR(10)&amp;"vt. 回顾；追忆"</f>
        <v/>
      </c>
      <c r="G1619" s="18">
        <f>HYPERLINK("D:\python\英语学习\voices\"&amp;B1619&amp;"_1.mp3","BrE")</f>
        <v/>
      </c>
      <c r="H1619" s="18">
        <f>HYPERLINK("D:\python\英语学习\voices\"&amp;B1619&amp;"_2.mp3","AmE")</f>
        <v/>
      </c>
      <c r="I1619" s="18">
        <f>HYPERLINK("http://dict.youdao.com/w/"&amp;B1619,"有道")</f>
        <v/>
      </c>
    </row>
    <row customHeight="1" ht="28.5" r="1620">
      <c r="B1620" s="1" t="inlineStr">
        <is>
          <t>retrospective</t>
        </is>
      </c>
      <c r="C1620" s="7">
        <f>"adj. 回顾的；怀旧的；可追溯的"&amp;CHAR(10)&amp;"n. 回顾展"</f>
        <v/>
      </c>
      <c r="G1620" s="18">
        <f>HYPERLINK("D:\python\英语学习\voices\"&amp;B1620&amp;"_1.mp3","BrE")</f>
        <v/>
      </c>
      <c r="H1620" s="18">
        <f>HYPERLINK("D:\python\英语学习\voices\"&amp;B1620&amp;"_2.mp3","AmE")</f>
        <v/>
      </c>
      <c r="I1620" s="18">
        <f>HYPERLINK("http://dict.youdao.com/w/"&amp;B1620,"有道")</f>
        <v/>
      </c>
    </row>
    <row customHeight="1" ht="71.25" r="1621">
      <c r="A1621" s="1" t="inlineStr">
        <is>
          <t>practice</t>
        </is>
      </c>
      <c r="B1621" s="1" t="inlineStr">
        <is>
          <t>foul</t>
        </is>
      </c>
      <c r="C1621" s="7">
        <f>"adj. 犯规的；邪恶的；污秽的；淤塞的"&amp;CHAR(10)&amp;"vt. 犯规；弄脏；淤塞；缠住，妨害"&amp;CHAR(10)&amp;"vi. 犯规；腐烂；缠结"&amp;CHAR(10)&amp;"n. 犯规；缠绕"&amp;CHAR(10)&amp;"adv. 违反规则地，不正当地"</f>
        <v/>
      </c>
      <c r="E1621" s="6" t="inlineStr">
        <is>
          <t>好多意思-约等于bad</t>
        </is>
      </c>
      <c r="G1621" s="18">
        <f>HYPERLINK("D:\python\英语学习\voices\"&amp;B1621&amp;"_1.mp3","BrE")</f>
        <v/>
      </c>
      <c r="H1621" s="18">
        <f>HYPERLINK("D:\python\英语学习\voices\"&amp;B1621&amp;"_2.mp3","AmE")</f>
        <v/>
      </c>
      <c r="I1621" s="18">
        <f>HYPERLINK("http://dict.youdao.com/w/"&amp;B1621,"有道")</f>
        <v/>
      </c>
    </row>
    <row customHeight="1" ht="57" r="1622">
      <c r="B1622" s="1" t="inlineStr">
        <is>
          <t>revert</t>
        </is>
      </c>
      <c r="C1622" s="7">
        <f>"vi. 回复；重提；返祖遗传；归还"&amp;CHAR(10)&amp;"vt. 使回复原状"&amp;CHAR(10)&amp;"n. 恢复原状者"&amp;CHAR(10)&amp;"n. (Revert)人名；(西)雷韦特；(法)勒韦尔"</f>
        <v/>
      </c>
      <c r="G1622" s="18">
        <f>HYPERLINK("D:\python\英语学习\voices\"&amp;B1622&amp;"_1.mp3","BrE")</f>
        <v/>
      </c>
      <c r="H1622" s="18">
        <f>HYPERLINK("D:\python\英语学习\voices\"&amp;B1622&amp;"_2.mp3","AmE")</f>
        <v/>
      </c>
      <c r="I1622" s="18">
        <f>HYPERLINK("http://dict.youdao.com/w/"&amp;B1622,"有道")</f>
        <v/>
      </c>
    </row>
    <row customHeight="1" ht="28.5" r="1623">
      <c r="B1623" s="1" t="inlineStr">
        <is>
          <t>revive</t>
        </is>
      </c>
      <c r="C1623" s="7">
        <f>"vi. 复兴；复活；苏醒；恢复精神"&amp;CHAR(10)&amp;"vt. 使复兴；使苏醒；回想起；重演，重播"</f>
        <v/>
      </c>
      <c r="G1623" s="18">
        <f>HYPERLINK("D:\python\英语学习\voices\"&amp;B1623&amp;"_1.mp3","BrE")</f>
        <v/>
      </c>
      <c r="H1623" s="18">
        <f>HYPERLINK("D:\python\英语学习\voices\"&amp;B1623&amp;"_2.mp3","AmE")</f>
        <v/>
      </c>
      <c r="I1623" s="18">
        <f>HYPERLINK("http://dict.youdao.com/w/"&amp;B1623,"有道")</f>
        <v/>
      </c>
    </row>
    <row customHeight="1" ht="42.75" r="1624">
      <c r="B1624" s="1" t="inlineStr">
        <is>
          <t>revolt</t>
        </is>
      </c>
      <c r="C1624" s="7">
        <f>"vi. 反抗；反叛；反感，厌恶"&amp;CHAR(10)&amp;"vt. 使反感；使恶心"&amp;CHAR(10)&amp;"n. 反抗；叛乱；反感"</f>
        <v/>
      </c>
      <c r="G1624" s="18">
        <f>HYPERLINK("D:\python\英语学习\voices\"&amp;B1624&amp;"_1.mp3","BrE")</f>
        <v/>
      </c>
      <c r="H1624" s="18">
        <f>HYPERLINK("D:\python\英语学习\voices\"&amp;B1624&amp;"_2.mp3","AmE")</f>
        <v/>
      </c>
      <c r="I1624" s="18">
        <f>HYPERLINK("http://dict.youdao.com/w/"&amp;B1624,"有道")</f>
        <v/>
      </c>
    </row>
    <row customHeight="1" ht="42.75" r="1625">
      <c r="B1625" s="1" t="inlineStr">
        <is>
          <t>revolve</t>
        </is>
      </c>
      <c r="C1625" s="7">
        <f>"vi. 旋转；循环出现；反复考虑"&amp;CHAR(10)&amp;"vt. 使…旋转；使…循环；反复考虑"&amp;CHAR(10)&amp;"n. 旋转；循环；旋转舞台"</f>
        <v/>
      </c>
      <c r="D1625" s="6" t="inlineStr">
        <is>
          <t>revolver左轮手枪</t>
        </is>
      </c>
      <c r="G1625" s="18">
        <f>HYPERLINK("D:\python\英语学习\voices\"&amp;B1625&amp;"_1.mp3","BrE")</f>
        <v/>
      </c>
      <c r="H1625" s="18">
        <f>HYPERLINK("D:\python\英语学习\voices\"&amp;B1625&amp;"_2.mp3","AmE")</f>
        <v/>
      </c>
      <c r="I1625" s="18">
        <f>HYPERLINK("http://dict.youdao.com/w/"&amp;B1625,"有道")</f>
        <v/>
      </c>
    </row>
    <row r="1626">
      <c r="B1626" s="1" t="inlineStr">
        <is>
          <t>richness</t>
        </is>
      </c>
      <c r="C1626" s="7">
        <f>"n. 丰富；富裕；肥沃；华美"</f>
        <v/>
      </c>
      <c r="G1626" s="18">
        <f>HYPERLINK("D:\python\英语学习\voices\"&amp;B1626&amp;"_1.mp3","BrE")</f>
        <v/>
      </c>
      <c r="H1626" s="18">
        <f>HYPERLINK("D:\python\英语学习\voices\"&amp;B1626&amp;"_2.mp3","AmE")</f>
        <v/>
      </c>
      <c r="I1626" s="18">
        <f>HYPERLINK("http://dict.youdao.com/w/"&amp;B1626,"有道")</f>
        <v/>
      </c>
    </row>
    <row customHeight="1" ht="28.5" r="1627">
      <c r="B1627" s="1" t="inlineStr">
        <is>
          <t>ridicule</t>
        </is>
      </c>
      <c r="C1627" s="7">
        <f>"vt. 嘲笑；嘲弄；愚弄"&amp;CHAR(10)&amp;"n. 嘲笑；笑柄；愚弄"</f>
        <v/>
      </c>
      <c r="G1627" s="18">
        <f>HYPERLINK("D:\python\英语学习\voices\"&amp;B1627&amp;"_1.mp3","BrE")</f>
        <v/>
      </c>
      <c r="H1627" s="18">
        <f>HYPERLINK("D:\python\英语学习\voices\"&amp;B1627&amp;"_2.mp3","AmE")</f>
        <v/>
      </c>
      <c r="I1627" s="18">
        <f>HYPERLINK("http://dict.youdao.com/w/"&amp;B1627,"有道")</f>
        <v/>
      </c>
    </row>
    <row customHeight="1" ht="28.5" r="1628">
      <c r="B1628" s="1" t="inlineStr">
        <is>
          <t>rig</t>
        </is>
      </c>
      <c r="C1628" s="7">
        <f>"n. 装备；钻探设备；服装；[船] 帆装"&amp;CHAR(10)&amp;"vt. 操纵；装配；装扮；装上索具"</f>
        <v/>
      </c>
      <c r="G1628" s="18">
        <f>HYPERLINK("D:\python\英语学习\voices\"&amp;B1628&amp;"_1.mp3","BrE")</f>
        <v/>
      </c>
      <c r="H1628" s="18">
        <f>HYPERLINK("D:\python\英语学习\voices\"&amp;B1628&amp;"_2.mp3","AmE")</f>
        <v/>
      </c>
      <c r="I1628" s="18">
        <f>HYPERLINK("http://dict.youdao.com/w/"&amp;B1628,"有道")</f>
        <v/>
      </c>
    </row>
    <row r="1629">
      <c r="A1629" s="1" t="inlineStr">
        <is>
          <t>practice</t>
        </is>
      </c>
      <c r="B1629" s="1" t="inlineStr">
        <is>
          <t>frightful</t>
        </is>
      </c>
      <c r="C1629" s="7">
        <f>"adj. 可怕的；惊人的；非常的"</f>
        <v/>
      </c>
      <c r="G1629" s="18">
        <f>HYPERLINK("D:\python\英语学习\voices\"&amp;B1629&amp;"_1.mp3","BrE")</f>
        <v/>
      </c>
      <c r="H1629" s="18">
        <f>HYPERLINK("D:\python\英语学习\voices\"&amp;B1629&amp;"_2.mp3","AmE")</f>
        <v/>
      </c>
      <c r="I1629" s="18">
        <f>HYPERLINK("http://dict.youdao.com/w/"&amp;B1629,"有道")</f>
        <v/>
      </c>
    </row>
    <row customHeight="1" ht="42.75" r="1630">
      <c r="B1630" s="1" t="inlineStr">
        <is>
          <t>rinse</t>
        </is>
      </c>
      <c r="C1630" s="7">
        <f>"vt. 漱；冲洗掉；漂净"&amp;CHAR(10)&amp;"n. 冲洗；漂洗；[轻] 染发剂；染发"&amp;CHAR(10)&amp;"vi. 冲洗掉；漂净"</f>
        <v/>
      </c>
      <c r="G1630" s="18">
        <f>HYPERLINK("D:\python\英语学习\voices\"&amp;B1630&amp;"_1.mp3","BrE")</f>
        <v/>
      </c>
      <c r="H1630" s="18">
        <f>HYPERLINK("D:\python\英语学习\voices\"&amp;B1630&amp;"_2.mp3","AmE")</f>
        <v/>
      </c>
      <c r="I1630" s="18">
        <f>HYPERLINK("http://dict.youdao.com/w/"&amp;B1630,"有道")</f>
        <v/>
      </c>
    </row>
    <row customHeight="1" ht="28.5" r="1631">
      <c r="A1631" s="1" t="inlineStr">
        <is>
          <t>practice</t>
        </is>
      </c>
      <c r="B1631" s="1" t="inlineStr">
        <is>
          <t>futile</t>
        </is>
      </c>
      <c r="C1631" s="7">
        <f>"adj. 无用的；无效的；没有出息的；琐细的；不重要的"</f>
        <v/>
      </c>
      <c r="E1631" s="12" t="inlineStr">
        <is>
          <t>注意发音，US tile-tl UK tile-tail</t>
        </is>
      </c>
      <c r="G1631" s="18">
        <f>HYPERLINK("D:\python\英语学习\voices\"&amp;B1631&amp;"_1.mp3","BrE")</f>
        <v/>
      </c>
      <c r="H1631" s="18">
        <f>HYPERLINK("D:\python\英语学习\voices\"&amp;B1631&amp;"_2.mp3","AmE")</f>
        <v/>
      </c>
      <c r="I1631" s="18">
        <f>HYPERLINK("http://dict.youdao.com/w/"&amp;B1631,"有道")</f>
        <v/>
      </c>
    </row>
    <row customHeight="1" ht="28.5" r="1632">
      <c r="B1632" s="1" t="inlineStr">
        <is>
          <t>rodent</t>
        </is>
      </c>
      <c r="C1632" s="7">
        <f>"adj. 啮齿类的；咬的，嚼的；侵蚀性的"&amp;CHAR(10)&amp;"n. [脊椎] 啮齿动物"</f>
        <v/>
      </c>
      <c r="G1632" s="18">
        <f>HYPERLINK("D:\python\英语学习\voices\"&amp;B1632&amp;"_1.mp3","BrE")</f>
        <v/>
      </c>
      <c r="H1632" s="18">
        <f>HYPERLINK("D:\python\英语学习\voices\"&amp;B1632&amp;"_2.mp3","AmE")</f>
        <v/>
      </c>
      <c r="I1632" s="18">
        <f>HYPERLINK("http://dict.youdao.com/w/"&amp;B1632,"有道")</f>
        <v/>
      </c>
    </row>
    <row customHeight="1" ht="28.5" r="1633">
      <c r="B1633" s="1" t="inlineStr">
        <is>
          <t>rotary</t>
        </is>
      </c>
      <c r="C1633" s="7">
        <f>"adj. 旋转的，转动的；轮流的"&amp;CHAR(10)&amp;"n. 旋转式机器；[动力] 转缸式发动机"</f>
        <v/>
      </c>
      <c r="G1633" s="18">
        <f>HYPERLINK("D:\python\英语学习\voices\"&amp;B1633&amp;"_1.mp3","BrE")</f>
        <v/>
      </c>
      <c r="H1633" s="18">
        <f>HYPERLINK("D:\python\英语学习\voices\"&amp;B1633&amp;"_2.mp3","AmE")</f>
        <v/>
      </c>
      <c r="I1633" s="18">
        <f>HYPERLINK("http://dict.youdao.com/w/"&amp;B1633,"有道")</f>
        <v/>
      </c>
    </row>
    <row customHeight="1" ht="28.5" r="1634">
      <c r="B1634" s="1" t="inlineStr">
        <is>
          <t>roundabout</t>
        </is>
      </c>
      <c r="C1634" s="7">
        <f>"adj. 迂回的，绕道的；圆滚滚的"&amp;CHAR(10)&amp;"n. 迂回路线；环状交叉路口"</f>
        <v/>
      </c>
      <c r="G1634" s="18">
        <f>HYPERLINK("D:\python\英语学习\voices\"&amp;B1634&amp;"_1.mp3","BrE")</f>
        <v/>
      </c>
      <c r="H1634" s="18">
        <f>HYPERLINK("D:\python\英语学习\voices\"&amp;B1634&amp;"_2.mp3","AmE")</f>
        <v/>
      </c>
      <c r="I1634" s="18">
        <f>HYPERLINK("http://dict.youdao.com/w/"&amp;B1634,"有道")</f>
        <v/>
      </c>
    </row>
    <row customHeight="1" ht="57" r="1635">
      <c r="B1635" s="1" t="inlineStr">
        <is>
          <t>rouse</t>
        </is>
      </c>
      <c r="C1635" s="7">
        <f>"vt. 唤醒；激起，使振奋；惊起"&amp;CHAR(10)&amp;"vi. 醒来；奋起"&amp;CHAR(10)&amp;"n. 觉醒；奋起"&amp;CHAR(10)&amp;"n. (Rouse)人名；(英)劳斯"</f>
        <v/>
      </c>
      <c r="G1635" s="18">
        <f>HYPERLINK("D:\python\英语学习\voices\"&amp;B1635&amp;"_1.mp3","BrE")</f>
        <v/>
      </c>
      <c r="H1635" s="18">
        <f>HYPERLINK("D:\python\英语学习\voices\"&amp;B1635&amp;"_2.mp3","AmE")</f>
        <v/>
      </c>
      <c r="I1635" s="18">
        <f>HYPERLINK("http://dict.youdao.com/w/"&amp;B1635,"有道")</f>
        <v/>
      </c>
    </row>
    <row customHeight="1" ht="57" r="1636">
      <c r="B1636" s="1" t="inlineStr">
        <is>
          <t>rout</t>
        </is>
      </c>
      <c r="C1636" s="7">
        <f>"vt. 击溃"&amp;CHAR(10)&amp;"vi. 搜寻"&amp;CHAR(10)&amp;"n. 溃败；暴动"&amp;CHAR(10)&amp;"n. (Rout)人名；(英、捷)劳特；(法)鲁特"</f>
        <v/>
      </c>
      <c r="G1636" s="18">
        <f>HYPERLINK("D:\python\英语学习\voices\"&amp;B1636&amp;"_1.mp3","BrE")</f>
        <v/>
      </c>
      <c r="H1636" s="18">
        <f>HYPERLINK("D:\python\英语学习\voices\"&amp;B1636&amp;"_2.mp3","AmE")</f>
        <v/>
      </c>
      <c r="I1636" s="18">
        <f>HYPERLINK("http://dict.youdao.com/w/"&amp;B1636,"有道")</f>
        <v/>
      </c>
    </row>
    <row r="1637">
      <c r="B1637" s="1" t="inlineStr">
        <is>
          <t>routinely</t>
        </is>
      </c>
      <c r="C1637" s="7">
        <f>"adv. 例行公事地；老一套地"</f>
        <v/>
      </c>
      <c r="G1637" s="18">
        <f>HYPERLINK("D:\python\英语学习\voices\"&amp;B1637&amp;"_1.mp3","BrE")</f>
        <v/>
      </c>
      <c r="H1637" s="18">
        <f>HYPERLINK("D:\python\英语学习\voices\"&amp;B1637&amp;"_2.mp3","AmE")</f>
        <v/>
      </c>
      <c r="I1637" s="18">
        <f>HYPERLINK("http://dict.youdao.com/w/"&amp;B1637,"有道")</f>
        <v/>
      </c>
    </row>
    <row customHeight="1" ht="57" r="1638">
      <c r="B1638" s="1" t="inlineStr">
        <is>
          <t>rub</t>
        </is>
      </c>
      <c r="C1638" s="7">
        <f>"vt. 擦；摩擦；惹怒"&amp;CHAR(10)&amp;"vi. 擦；摩擦；擦破"&amp;CHAR(10)&amp;"n. 摩擦；障碍；磨损处"&amp;CHAR(10)&amp;"n. (Rub)人名；(捷)鲁布"</f>
        <v/>
      </c>
      <c r="G1638" s="18">
        <f>HYPERLINK("D:\python\英语学习\voices\"&amp;B1638&amp;"_1.mp3","BrE")</f>
        <v/>
      </c>
      <c r="H1638" s="18">
        <f>HYPERLINK("D:\python\英语学习\voices\"&amp;B1638&amp;"_2.mp3","AmE")</f>
        <v/>
      </c>
      <c r="I1638" s="18">
        <f>HYPERLINK("http://dict.youdao.com/w/"&amp;B1638,"有道")</f>
        <v/>
      </c>
    </row>
    <row customHeight="1" ht="28.5" r="1639">
      <c r="B1639" s="1" t="inlineStr">
        <is>
          <t>rug</t>
        </is>
      </c>
      <c r="C1639" s="7">
        <f>"n. 小地毯；毛皮地毯；男子假发"&amp;CHAR(10)&amp;"n. (Rug)人名；(塞)鲁格"</f>
        <v/>
      </c>
      <c r="G1639" s="18">
        <f>HYPERLINK("D:\python\英语学习\voices\"&amp;B1639&amp;"_1.mp3","BrE")</f>
        <v/>
      </c>
      <c r="H1639" s="18">
        <f>HYPERLINK("D:\python\英语学习\voices\"&amp;B1639&amp;"_2.mp3","AmE")</f>
        <v/>
      </c>
      <c r="I1639" s="18">
        <f>HYPERLINK("http://dict.youdao.com/w/"&amp;B1639,"有道")</f>
        <v/>
      </c>
    </row>
    <row customHeight="1" ht="29.1" r="1640">
      <c r="B1640" s="1" t="inlineStr">
        <is>
          <t>rugged</t>
        </is>
      </c>
      <c r="C1640" s="7">
        <f>"adj. 崎岖的；坚固的；高低不平的；粗糙的"</f>
        <v/>
      </c>
      <c r="G1640" s="18">
        <f>HYPERLINK("D:\python\英语学习\voices\"&amp;B1640&amp;"_1.mp3","BrE")</f>
        <v/>
      </c>
      <c r="H1640" s="18">
        <f>HYPERLINK("D:\python\英语学习\voices\"&amp;B1640&amp;"_2.mp3","AmE")</f>
        <v/>
      </c>
      <c r="I1640" s="18">
        <f>HYPERLINK("http://dict.youdao.com/w/"&amp;B1640,"有道")</f>
        <v/>
      </c>
    </row>
    <row customHeight="1" ht="57" r="1641">
      <c r="B1641" s="1" t="inlineStr">
        <is>
          <t>rumble</t>
        </is>
      </c>
      <c r="C1641" s="7">
        <f>"vt. 使隆隆响；低沉地说"&amp;CHAR(10)&amp;"vi. 隆隆作响"&amp;CHAR(10)&amp;"n. 隆隆声；抱怨声"&amp;CHAR(10)&amp;"n. (Rumble)人名；(英)朗布尔"</f>
        <v/>
      </c>
      <c r="G1641" s="18">
        <f>HYPERLINK("D:\python\英语学习\voices\"&amp;B1641&amp;"_1.mp3","BrE")</f>
        <v/>
      </c>
      <c r="H1641" s="18">
        <f>HYPERLINK("D:\python\英语学习\voices\"&amp;B1641&amp;"_2.mp3","AmE")</f>
        <v/>
      </c>
      <c r="I1641" s="18">
        <f>HYPERLINK("http://dict.youdao.com/w/"&amp;B1641,"有道")</f>
        <v/>
      </c>
    </row>
    <row customHeight="1" ht="42.75" r="1642">
      <c r="B1642" s="1" t="inlineStr">
        <is>
          <t>sabotage</t>
        </is>
      </c>
      <c r="C1642" s="7">
        <f>"vt. 妨害；对…采取破坏行动"&amp;CHAR(10)&amp;"vi. 从事破坏活动"&amp;CHAR(10)&amp;"n. 破坏；破坏活动；怠工"</f>
        <v/>
      </c>
      <c r="G1642" s="18">
        <f>HYPERLINK("D:\python\英语学习\voices\"&amp;B1642&amp;"_1.mp3","BrE")</f>
        <v/>
      </c>
      <c r="H1642" s="18">
        <f>HYPERLINK("D:\python\英语学习\voices\"&amp;B1642&amp;"_2.mp3","AmE")</f>
        <v/>
      </c>
      <c r="I1642" s="18">
        <f>HYPERLINK("http://dict.youdao.com/w/"&amp;B1642,"有道")</f>
        <v/>
      </c>
    </row>
    <row customHeight="1" ht="42.75" r="1643">
      <c r="B1643" s="1" t="inlineStr">
        <is>
          <t>salient</t>
        </is>
      </c>
      <c r="C1643" s="7">
        <f>"adj. 显著的；突出的；跳跃的"&amp;CHAR(10)&amp;"n. 凸角；突出部分"&amp;CHAR(10)&amp;"n. (Salient)人名；(西)萨连特"</f>
        <v/>
      </c>
      <c r="G1643" s="18">
        <f>HYPERLINK("D:\python\英语学习\voices\"&amp;B1643&amp;"_1.mp3","BrE")</f>
        <v/>
      </c>
      <c r="H1643" s="18">
        <f>HYPERLINK("D:\python\英语学习\voices\"&amp;B1643&amp;"_2.mp3","AmE")</f>
        <v/>
      </c>
      <c r="I1643" s="18">
        <f>HYPERLINK("http://dict.youdao.com/w/"&amp;B1643,"有道")</f>
        <v/>
      </c>
    </row>
    <row customHeight="1" ht="42.75" r="1644">
      <c r="B1644" s="1" t="inlineStr">
        <is>
          <t>salmon</t>
        </is>
      </c>
      <c r="C1644" s="7">
        <f>"n. 鲑鱼；大马哈鱼；鲑肉色；鲑鱼肉；橙红色，粉橙色"&amp;CHAR(10)&amp;"adj. 浅澄色的"</f>
        <v/>
      </c>
      <c r="G1644" s="18">
        <f>HYPERLINK("D:\python\英语学习\voices\"&amp;B1644&amp;"_1.mp3","BrE")</f>
        <v/>
      </c>
      <c r="H1644" s="18">
        <f>HYPERLINK("D:\python\英语学习\voices\"&amp;B1644&amp;"_2.mp3","AmE")</f>
        <v/>
      </c>
      <c r="I1644" s="18">
        <f>HYPERLINK("http://dict.youdao.com/w/"&amp;B1644,"有道")</f>
        <v/>
      </c>
    </row>
    <row customHeight="1" ht="42.75" r="1645">
      <c r="B1645" s="1" t="inlineStr">
        <is>
          <t>salvage</t>
        </is>
      </c>
      <c r="C1645" s="7">
        <f>"n. 打捞；海上救助；抢救财货；救难的奖金"&amp;CHAR(10)&amp;"vt. 抢救；海上救助"&amp;CHAR(10)&amp;"n. (Salvage)人名；(法)萨尔瓦热"</f>
        <v/>
      </c>
      <c r="G1645" s="18">
        <f>HYPERLINK("D:\python\英语学习\voices\"&amp;B1645&amp;"_1.mp3","BrE")</f>
        <v/>
      </c>
      <c r="H1645" s="18">
        <f>HYPERLINK("D:\python\英语学习\voices\"&amp;B1645&amp;"_2.mp3","AmE")</f>
        <v/>
      </c>
      <c r="I1645" s="18">
        <f>HYPERLINK("http://dict.youdao.com/w/"&amp;B1645,"有道")</f>
        <v/>
      </c>
    </row>
    <row customHeight="1" ht="42.75" r="1646">
      <c r="B1646" s="1" t="inlineStr">
        <is>
          <t>sane</t>
        </is>
      </c>
      <c r="C1646" s="7">
        <f>"adj. 健全的；理智的；[临床] 神志正常的"&amp;CHAR(10)&amp;"n. (Sane)人名；(日)实(姓)；(日)实(名)；(芬、塞、冈、几比、塞内)萨内"</f>
        <v/>
      </c>
      <c r="D1646" s="6" t="inlineStr">
        <is>
          <t>insane</t>
        </is>
      </c>
      <c r="G1646" s="18">
        <f>HYPERLINK("D:\python\英语学习\voices\"&amp;B1646&amp;"_1.mp3","BrE")</f>
        <v/>
      </c>
      <c r="H1646" s="18">
        <f>HYPERLINK("D:\python\英语学习\voices\"&amp;B1646&amp;"_2.mp3","AmE")</f>
        <v/>
      </c>
      <c r="I1646" s="18">
        <f>HYPERLINK("http://dict.youdao.com/w/"&amp;B1646,"有道")</f>
        <v/>
      </c>
    </row>
    <row r="1647">
      <c r="A1647" s="1" t="inlineStr">
        <is>
          <t>practice</t>
        </is>
      </c>
      <c r="B1647" s="1" t="inlineStr">
        <is>
          <t>glossy</t>
        </is>
      </c>
      <c r="C1647" s="7">
        <f>"adj. 光滑的；有光泽的"</f>
        <v/>
      </c>
      <c r="G1647" s="18">
        <f>HYPERLINK("D:\python\英语学习\voices\"&amp;B1647&amp;"_1.mp3","BrE")</f>
        <v/>
      </c>
      <c r="H1647" s="18">
        <f>HYPERLINK("D:\python\英语学习\voices\"&amp;B1647&amp;"_2.mp3","AmE")</f>
        <v/>
      </c>
      <c r="I1647" s="18">
        <f>HYPERLINK("http://dict.youdao.com/w/"&amp;B1647,"有道")</f>
        <v/>
      </c>
    </row>
    <row customHeight="1" ht="28.5" r="1648">
      <c r="B1648" s="1" t="inlineStr">
        <is>
          <t>sardine</t>
        </is>
      </c>
      <c r="C1648" s="7">
        <f>"n. 沙丁鱼；庸碌无能的人"&amp;CHAR(10)&amp;"vt. 使拥挤不堪"</f>
        <v/>
      </c>
      <c r="G1648" s="18">
        <f>HYPERLINK("D:\python\英语学习\voices\"&amp;B1648&amp;"_1.mp3","BrE")</f>
        <v/>
      </c>
      <c r="H1648" s="18">
        <f>HYPERLINK("D:\python\英语学习\voices\"&amp;B1648&amp;"_2.mp3","AmE")</f>
        <v/>
      </c>
      <c r="I1648" s="18">
        <f>HYPERLINK("http://dict.youdao.com/w/"&amp;B1648,"有道")</f>
        <v/>
      </c>
    </row>
    <row r="1649">
      <c r="B1649" s="1" t="inlineStr">
        <is>
          <t>satellite</t>
        </is>
      </c>
      <c r="C1649" s="7">
        <f>"n. 卫星；人造卫星；随从；卫星国家"</f>
        <v/>
      </c>
      <c r="G1649" s="18">
        <f>HYPERLINK("D:\python\英语学习\voices\"&amp;B1649&amp;"_1.mp3","BrE")</f>
        <v/>
      </c>
      <c r="H1649" s="18">
        <f>HYPERLINK("D:\python\英语学习\voices\"&amp;B1649&amp;"_2.mp3","AmE")</f>
        <v/>
      </c>
      <c r="I1649" s="18">
        <f>HYPERLINK("http://dict.youdao.com/w/"&amp;B1649,"有道")</f>
        <v/>
      </c>
    </row>
    <row r="1650">
      <c r="B1650" s="1" t="inlineStr">
        <is>
          <t>satire</t>
        </is>
      </c>
      <c r="C1650" s="7">
        <f>"n. 讽刺；讽刺文学，讽刺作品"</f>
        <v/>
      </c>
      <c r="G1650" s="18">
        <f>HYPERLINK("D:\python\英语学习\voices\"&amp;B1650&amp;"_1.mp3","BrE")</f>
        <v/>
      </c>
      <c r="H1650" s="18">
        <f>HYPERLINK("D:\python\英语学习\voices\"&amp;B1650&amp;"_2.mp3","AmE")</f>
        <v/>
      </c>
      <c r="I1650" s="18">
        <f>HYPERLINK("http://dict.youdao.com/w/"&amp;B1650,"有道")</f>
        <v/>
      </c>
    </row>
    <row customHeight="1" ht="28.5" r="1651">
      <c r="B1651" s="1" t="inlineStr">
        <is>
          <t>saturate</t>
        </is>
      </c>
      <c r="C1651" s="7">
        <f>"vt. 浸透，使湿透；使饱和，使充满"&amp;CHAR(10)&amp;"adj. 浸透的，饱和的；深颜色的"</f>
        <v/>
      </c>
      <c r="G1651" s="18">
        <f>HYPERLINK("D:\python\英语学习\voices\"&amp;B1651&amp;"_1.mp3","BrE")</f>
        <v/>
      </c>
      <c r="H1651" s="18">
        <f>HYPERLINK("D:\python\英语学习\voices\"&amp;B1651&amp;"_2.mp3","AmE")</f>
        <v/>
      </c>
      <c r="I1651" s="18">
        <f>HYPERLINK("http://dict.youdao.com/w/"&amp;B1651,"有道")</f>
        <v/>
      </c>
    </row>
    <row r="1652">
      <c r="B1652" s="1" t="inlineStr">
        <is>
          <t>saucer</t>
        </is>
      </c>
      <c r="C1652" s="7">
        <f>"n. 茶托，浅碟；浅碟形物；眼睛"</f>
        <v/>
      </c>
      <c r="G1652" s="18">
        <f>HYPERLINK("D:\python\英语学习\voices\"&amp;B1652&amp;"_1.mp3","BrE")</f>
        <v/>
      </c>
      <c r="H1652" s="18">
        <f>HYPERLINK("D:\python\英语学习\voices\"&amp;B1652&amp;"_2.mp3","AmE")</f>
        <v/>
      </c>
      <c r="I1652" s="18">
        <f>HYPERLINK("http://dict.youdao.com/w/"&amp;B1652,"有道")</f>
        <v/>
      </c>
    </row>
    <row customHeight="1" ht="57" r="1653">
      <c r="B1653" s="1" t="inlineStr">
        <is>
          <t>savage</t>
        </is>
      </c>
      <c r="C1653" s="7">
        <f>"adj. 野蛮的；残酷的；狂怒的；荒凉的"&amp;CHAR(10)&amp;"n. 未开化的人；粗鲁的人；残暴成性的人"&amp;CHAR(10)&amp;"vt. 乱咬；粗暴的对待"&amp;CHAR(10)&amp;"n. (Savage)人名；(西)萨瓦赫；(英、德)萨维奇"</f>
        <v/>
      </c>
      <c r="G1653" s="18">
        <f>HYPERLINK("D:\python\英语学习\voices\"&amp;B1653&amp;"_1.mp3","BrE")</f>
        <v/>
      </c>
      <c r="H1653" s="18">
        <f>HYPERLINK("D:\python\英语学习\voices\"&amp;B1653&amp;"_2.mp3","AmE")</f>
        <v/>
      </c>
      <c r="I1653" s="18">
        <f>HYPERLINK("http://dict.youdao.com/w/"&amp;B1653,"有道")</f>
        <v/>
      </c>
    </row>
    <row customHeight="1" ht="28.5" r="1654">
      <c r="A1654" s="1" t="inlineStr">
        <is>
          <t>practice</t>
        </is>
      </c>
      <c r="B1654" s="1" t="inlineStr">
        <is>
          <t>haughty</t>
        </is>
      </c>
      <c r="C1654" s="7">
        <f>"adj. 傲慢的；自大的"</f>
        <v/>
      </c>
      <c r="G1654" s="18">
        <f>HYPERLINK("D:\python\英语学习\voices\"&amp;B1654&amp;"_1.mp3","BrE")</f>
        <v/>
      </c>
      <c r="H1654" s="18">
        <f>HYPERLINK("D:\python\英语学习\voices\"&amp;B1654&amp;"_2.mp3","AmE")</f>
        <v/>
      </c>
      <c r="I1654" s="18">
        <f>HYPERLINK("http://dict.youdao.com/w/"&amp;B1654,"有道")</f>
        <v/>
      </c>
    </row>
    <row customHeight="1" ht="28.5" r="1655">
      <c r="B1655" s="1" t="inlineStr">
        <is>
          <t>scaffold</t>
        </is>
      </c>
      <c r="C1655" s="7">
        <f>"n. 脚手架；鹰架；绞刑台"&amp;CHAR(10)&amp;"vt. 给…搭脚手架；用支架支撑"</f>
        <v/>
      </c>
      <c r="G1655" s="18">
        <f>HYPERLINK("D:\python\英语学习\voices\"&amp;B1655&amp;"_1.mp3","BrE")</f>
        <v/>
      </c>
      <c r="H1655" s="18">
        <f>HYPERLINK("D:\python\英语学习\voices\"&amp;B1655&amp;"_2.mp3","AmE")</f>
        <v/>
      </c>
      <c r="I1655" s="18">
        <f>HYPERLINK("http://dict.youdao.com/w/"&amp;B1655,"有道")</f>
        <v/>
      </c>
    </row>
    <row r="1656">
      <c r="B1656" s="1" t="inlineStr">
        <is>
          <t>scandal</t>
        </is>
      </c>
      <c r="C1656" s="7">
        <f>"n. 丑闻；流言蜚语；诽谤；公愤"</f>
        <v/>
      </c>
      <c r="G1656" s="18">
        <f>HYPERLINK("D:\python\英语学习\voices\"&amp;B1656&amp;"_1.mp3","BrE")</f>
        <v/>
      </c>
      <c r="H1656" s="18">
        <f>HYPERLINK("D:\python\英语学习\voices\"&amp;B1656&amp;"_2.mp3","AmE")</f>
        <v/>
      </c>
      <c r="I1656" s="18">
        <f>HYPERLINK("http://dict.youdao.com/w/"&amp;B1656,"有道")</f>
        <v/>
      </c>
    </row>
    <row r="1657">
      <c r="B1657" s="1" t="inlineStr">
        <is>
          <t>scandalous</t>
        </is>
      </c>
      <c r="C1657" s="7">
        <f>"adj. 可耻的；诽谤性的"</f>
        <v/>
      </c>
      <c r="G1657" s="18">
        <f>HYPERLINK("D:\python\英语学习\voices\"&amp;B1657&amp;"_1.mp3","BrE")</f>
        <v/>
      </c>
      <c r="H1657" s="18">
        <f>HYPERLINK("D:\python\英语学习\voices\"&amp;B1657&amp;"_2.mp3","AmE")</f>
        <v/>
      </c>
      <c r="I1657" s="18">
        <f>HYPERLINK("http://dict.youdao.com/w/"&amp;B1657,"有道")</f>
        <v/>
      </c>
    </row>
    <row r="1658">
      <c r="B1658" s="1" t="inlineStr">
        <is>
          <t>scarcely</t>
        </is>
      </c>
      <c r="C1658" s="7">
        <f>"adv. 几乎不，简直不；简直没有"</f>
        <v/>
      </c>
      <c r="G1658" s="18">
        <f>HYPERLINK("D:\python\英语学习\voices\"&amp;B1658&amp;"_1.mp3","BrE")</f>
        <v/>
      </c>
      <c r="H1658" s="18">
        <f>HYPERLINK("D:\python\英语学习\voices\"&amp;B1658&amp;"_2.mp3","AmE")</f>
        <v/>
      </c>
      <c r="I1658" s="18">
        <f>HYPERLINK("http://dict.youdao.com/w/"&amp;B1658,"有道")</f>
        <v/>
      </c>
    </row>
    <row customHeight="1" ht="57" r="1659">
      <c r="B1659" s="1" t="inlineStr">
        <is>
          <t>scarlet</t>
        </is>
      </c>
      <c r="C1659" s="7">
        <f>"adj. 深红的；鲜红色的；罪孽深重的；淫荡的"&amp;CHAR(10)&amp;"n. 猩红色；红衣；绯红色；鲜红色布"&amp;CHAR(10)&amp;"n. (Scarlet)人名；(英)斯卡利特；(罗)斯卡尔莱特"</f>
        <v/>
      </c>
      <c r="G1659" s="18">
        <f>HYPERLINK("D:\python\英语学习\voices\"&amp;B1659&amp;"_1.mp3","BrE")</f>
        <v/>
      </c>
      <c r="H1659" s="18">
        <f>HYPERLINK("D:\python\英语学习\voices\"&amp;B1659&amp;"_2.mp3","AmE")</f>
        <v/>
      </c>
      <c r="I1659" s="18">
        <f>HYPERLINK("http://dict.youdao.com/w/"&amp;B1659,"有道")</f>
        <v/>
      </c>
    </row>
    <row customHeight="1" ht="71.25" r="1660">
      <c r="B1660" s="1" t="inlineStr">
        <is>
          <t>scent</t>
        </is>
      </c>
      <c r="C1660" s="7">
        <f>"n. 气味；嗅觉；痕迹；察觉能力"&amp;CHAR(10)&amp;"vt. 闻到；发觉；使充满…的气味；循着遗臭追踪"&amp;CHAR(10)&amp;"vi. 发出…的气味；有…的迹象；嗅着气味追赶"&amp;CHAR(10)&amp;"n. (Scent)人名；(英)森特"</f>
        <v/>
      </c>
      <c r="E1660" t="inlineStr">
        <is>
          <t>指好闻的气味</t>
        </is>
      </c>
      <c r="G1660" s="18">
        <f>HYPERLINK("D:\python\英语学习\voices\"&amp;B1660&amp;"_1.mp3","BrE")</f>
        <v/>
      </c>
      <c r="H1660" s="18">
        <f>HYPERLINK("D:\python\英语学习\voices\"&amp;B1660&amp;"_2.mp3","AmE")</f>
        <v/>
      </c>
      <c r="I1660" s="18">
        <f>HYPERLINK("http://dict.youdao.com/w/"&amp;B1660,"有道")</f>
        <v/>
      </c>
    </row>
    <row r="1661">
      <c r="A1661" s="1" t="inlineStr">
        <is>
          <t>unnecessary</t>
        </is>
      </c>
      <c r="B1661" s="1" t="inlineStr">
        <is>
          <t>schizophrenia</t>
        </is>
      </c>
      <c r="C1661" s="7">
        <f>"n. [内科] 精神分裂症"</f>
        <v/>
      </c>
      <c r="G1661" s="18">
        <f>HYPERLINK("D:\python\英语学习\voices\"&amp;B1661&amp;"_1.mp3","BrE")</f>
        <v/>
      </c>
      <c r="H1661" s="18">
        <f>HYPERLINK("D:\python\英语学习\voices\"&amp;B1661&amp;"_2.mp3","AmE")</f>
        <v/>
      </c>
      <c r="I1661" s="18">
        <f>HYPERLINK("http://dict.youdao.com/w/"&amp;B1661,"有道")</f>
        <v/>
      </c>
    </row>
    <row r="1662">
      <c r="B1662" s="1" t="inlineStr">
        <is>
          <t>scholarly</t>
        </is>
      </c>
      <c r="C1662" s="7">
        <f>"adj. 博学的；学者风度的；学者派头的"</f>
        <v/>
      </c>
      <c r="G1662" s="18">
        <f>HYPERLINK("D:\python\英语学习\voices\"&amp;B1662&amp;"_1.mp3","BrE")</f>
        <v/>
      </c>
      <c r="H1662" s="18">
        <f>HYPERLINK("D:\python\英语学习\voices\"&amp;B1662&amp;"_2.mp3","AmE")</f>
        <v/>
      </c>
      <c r="I1662" s="18">
        <f>HYPERLINK("http://dict.youdao.com/w/"&amp;B1662,"有道")</f>
        <v/>
      </c>
    </row>
    <row customHeight="1" ht="42.75" r="1663">
      <c r="B1663" s="1" t="inlineStr">
        <is>
          <t>scoff</t>
        </is>
      </c>
      <c r="C1663" s="7">
        <f>"n. 嘲笑；愚弄；笑柄"&amp;CHAR(10)&amp;"vt. 嘲笑；嘲弄；贪婪地吃"&amp;CHAR(10)&amp;"vi. 嘲笑；嘲弄；狼吞虎咽"</f>
        <v/>
      </c>
      <c r="G1663" s="18">
        <f>HYPERLINK("D:\python\英语学习\voices\"&amp;B1663&amp;"_1.mp3","BrE")</f>
        <v/>
      </c>
      <c r="H1663" s="18">
        <f>HYPERLINK("D:\python\英语学习\voices\"&amp;B1663&amp;"_2.mp3","AmE")</f>
        <v/>
      </c>
      <c r="I1663" s="18">
        <f>HYPERLINK("http://dict.youdao.com/w/"&amp;B1663,"有道")</f>
        <v/>
      </c>
    </row>
    <row customHeight="1" ht="42.75" r="1664">
      <c r="B1664" s="1" t="inlineStr">
        <is>
          <t>scold</t>
        </is>
      </c>
      <c r="C1664" s="7">
        <f>"vi. 责骂；叱责"&amp;CHAR(10)&amp;"vt. 骂；责骂"&amp;CHAR(10)&amp;"n. 责骂；爱责骂的人"</f>
        <v/>
      </c>
      <c r="G1664" s="18">
        <f>HYPERLINK("D:\python\英语学习\voices\"&amp;B1664&amp;"_1.mp3","BrE")</f>
        <v/>
      </c>
      <c r="H1664" s="18">
        <f>HYPERLINK("D:\python\英语学习\voices\"&amp;B1664&amp;"_2.mp3","AmE")</f>
        <v/>
      </c>
      <c r="I1664" s="18">
        <f>HYPERLINK("http://dict.youdao.com/w/"&amp;B1664,"有道")</f>
        <v/>
      </c>
    </row>
    <row customHeight="1" ht="28.5" r="1665">
      <c r="B1665" s="1" t="inlineStr">
        <is>
          <t>scope</t>
        </is>
      </c>
      <c r="C1665" s="7">
        <f>"n. 范围；余地；视野；眼界；导弹射程"&amp;CHAR(10)&amp;"vt. 审视"</f>
        <v/>
      </c>
      <c r="G1665" s="18">
        <f>HYPERLINK("D:\python\英语学习\voices\"&amp;B1665&amp;"_1.mp3","BrE")</f>
        <v/>
      </c>
      <c r="H1665" s="18">
        <f>HYPERLINK("D:\python\英语学习\voices\"&amp;B1665&amp;"_2.mp3","AmE")</f>
        <v/>
      </c>
      <c r="I1665" s="18">
        <f>HYPERLINK("http://dict.youdao.com/w/"&amp;B1665,"有道")</f>
        <v/>
      </c>
    </row>
    <row customHeight="1" ht="42.75" r="1666">
      <c r="B1666" s="1" t="inlineStr">
        <is>
          <t>scorch</t>
        </is>
      </c>
      <c r="C1666" s="7">
        <f>"vt. 烧焦；使枯萎；挖苦"&amp;CHAR(10)&amp;"vi. 烧焦；枯萎"&amp;CHAR(10)&amp;"n. 烧焦；焦痕"</f>
        <v/>
      </c>
      <c r="G1666" s="18">
        <f>HYPERLINK("D:\python\英语学习\voices\"&amp;B1666&amp;"_1.mp3","BrE")</f>
        <v/>
      </c>
      <c r="H1666" s="18">
        <f>HYPERLINK("D:\python\英语学习\voices\"&amp;B1666&amp;"_2.mp3","AmE")</f>
        <v/>
      </c>
      <c r="I1666" s="18">
        <f>HYPERLINK("http://dict.youdao.com/w/"&amp;B1666,"有道")</f>
        <v/>
      </c>
    </row>
    <row customHeight="1" ht="42.75" r="1667">
      <c r="B1667" s="1" t="inlineStr">
        <is>
          <t>scorn</t>
        </is>
      </c>
      <c r="C1667" s="7">
        <f>"n. 轻蔑；嘲笑；藐视的对象"&amp;CHAR(10)&amp;"vt. 轻蔑；藐视；不屑做"&amp;CHAR(10)&amp;"vi. 表示轻蔑；表示鄙视"</f>
        <v/>
      </c>
      <c r="G1667" s="18">
        <f>HYPERLINK("D:\python\英语学习\voices\"&amp;B1667&amp;"_1.mp3","BrE")</f>
        <v/>
      </c>
      <c r="H1667" s="18">
        <f>HYPERLINK("D:\python\英语学习\voices\"&amp;B1667&amp;"_2.mp3","AmE")</f>
        <v/>
      </c>
      <c r="I1667" s="18">
        <f>HYPERLINK("http://dict.youdao.com/w/"&amp;B1667,"有道")</f>
        <v/>
      </c>
    </row>
    <row customHeight="1" ht="57" r="1668">
      <c r="B1668" s="1" t="inlineStr">
        <is>
          <t>scramble</t>
        </is>
      </c>
      <c r="C1668" s="7">
        <f>"vt. 攀登；使混杂，仓促凑成；扰乱"&amp;CHAR(10)&amp;"n. 抢夺，争夺；混乱，混乱的一团；爬行，攀登"&amp;CHAR(10)&amp;"vi. 爬行，攀登；不规则地生长；仓促行动"</f>
        <v/>
      </c>
      <c r="E1668" s="6" t="inlineStr">
        <is>
          <t>scrambled egg</t>
        </is>
      </c>
      <c r="G1668" s="18">
        <f>HYPERLINK("D:\python\英语学习\voices\"&amp;B1668&amp;"_1.mp3","BrE")</f>
        <v/>
      </c>
      <c r="H1668" s="18">
        <f>HYPERLINK("D:\python\英语学习\voices\"&amp;B1668&amp;"_2.mp3","AmE")</f>
        <v/>
      </c>
      <c r="I1668" s="18">
        <f>HYPERLINK("http://dict.youdao.com/w/"&amp;B1668,"有道")</f>
        <v/>
      </c>
    </row>
    <row customHeight="1" ht="57" r="1669">
      <c r="B1669" s="1" t="inlineStr">
        <is>
          <t>scrap</t>
        </is>
      </c>
      <c r="C1669" s="7">
        <f>"n. 碎片；残余物；打架；少量"&amp;CHAR(10)&amp;"vt. 废弃；使解体；拆毁"&amp;CHAR(10)&amp;"adj. 废弃的；零碎的"&amp;CHAR(10)&amp;"vi. 吵架"</f>
        <v/>
      </c>
      <c r="G1669" s="18">
        <f>HYPERLINK("D:\python\英语学习\voices\"&amp;B1669&amp;"_1.mp3","BrE")</f>
        <v/>
      </c>
      <c r="H1669" s="18">
        <f>HYPERLINK("D:\python\英语学习\voices\"&amp;B1669&amp;"_2.mp3","AmE")</f>
        <v/>
      </c>
      <c r="I1669" s="18">
        <f>HYPERLINK("http://dict.youdao.com/w/"&amp;B1669,"有道")</f>
        <v/>
      </c>
    </row>
    <row customHeight="1" ht="57" r="1670">
      <c r="B1670" s="1" t="inlineStr">
        <is>
          <t>scratch</t>
        </is>
      </c>
      <c r="C1670" s="7">
        <f>"n. 擦伤；抓痕；刮擦声；乱写"&amp;CHAR(10)&amp;"adj. 打草稿用的；凑合的；碰巧的"&amp;CHAR(10)&amp;"vt. 抓；刮；挖出；乱涂"&amp;CHAR(10)&amp;"vi. 抓；搔；发刮擦声；勉强糊口；退出比赛"</f>
        <v/>
      </c>
      <c r="D1670" s="6" t="inlineStr">
        <is>
          <t>just a scratch, you'll be fine</t>
        </is>
      </c>
      <c r="G1670" s="18">
        <f>HYPERLINK("D:\python\英语学习\voices\"&amp;B1670&amp;"_1.mp3","BrE")</f>
        <v/>
      </c>
      <c r="H1670" s="18">
        <f>HYPERLINK("D:\python\英语学习\voices\"&amp;B1670&amp;"_2.mp3","AmE")</f>
        <v/>
      </c>
      <c r="I1670" s="18">
        <f>HYPERLINK("http://dict.youdao.com/w/"&amp;B1670,"有道")</f>
        <v/>
      </c>
    </row>
    <row customHeight="1" ht="28.5" r="1671">
      <c r="B1671" s="1" t="inlineStr">
        <is>
          <t>scripture</t>
        </is>
      </c>
      <c r="C1671" s="7">
        <f>"n. （大写）圣经；手稿；（大写）圣经的一句"&amp;CHAR(10)&amp;"n. (Scripture)人名；(英)斯克里普丘"</f>
        <v/>
      </c>
      <c r="G1671" s="18">
        <f>HYPERLINK("D:\python\英语学习\voices\"&amp;B1671&amp;"_1.mp3","BrE")</f>
        <v/>
      </c>
      <c r="H1671" s="18">
        <f>HYPERLINK("D:\python\英语学习\voices\"&amp;B1671&amp;"_2.mp3","AmE")</f>
        <v/>
      </c>
      <c r="I1671" s="18">
        <f>HYPERLINK("http://dict.youdao.com/w/"&amp;B1671,"有道")</f>
        <v/>
      </c>
    </row>
    <row customHeight="1" ht="42.75" r="1672">
      <c r="B1672" s="1" t="inlineStr">
        <is>
          <t>scroll</t>
        </is>
      </c>
      <c r="C1672" s="7">
        <f>"n. 卷轴，画卷；名册；卷形物"&amp;CHAR(10)&amp;"vi. 成卷形"&amp;CHAR(10)&amp;"vt. 使成卷形"</f>
        <v/>
      </c>
      <c r="G1672" s="18">
        <f>HYPERLINK("D:\python\英语学习\voices\"&amp;B1672&amp;"_1.mp3","BrE")</f>
        <v/>
      </c>
      <c r="H1672" s="18">
        <f>HYPERLINK("D:\python\英语学习\voices\"&amp;B1672&amp;"_2.mp3","AmE")</f>
        <v/>
      </c>
      <c r="I1672" s="18">
        <f>HYPERLINK("http://dict.youdao.com/w/"&amp;B1672,"有道")</f>
        <v/>
      </c>
    </row>
    <row customHeight="1" ht="42.75" r="1673">
      <c r="B1673" s="1" t="inlineStr">
        <is>
          <t>scrutinize</t>
        </is>
      </c>
      <c r="C1673" s="7">
        <f>"vi. 细阅；作详细检查"&amp;CHAR(10)&amp;"vt. 详细检查；细看"&amp;CHAR(10)&amp;"n. 仔细或彻底检查"</f>
        <v/>
      </c>
      <c r="G1673" s="18">
        <f>HYPERLINK("D:\python\英语学习\voices\"&amp;B1673&amp;"_1.mp3","BrE")</f>
        <v/>
      </c>
      <c r="H1673" s="18">
        <f>HYPERLINK("D:\python\英语学习\voices\"&amp;B1673&amp;"_2.mp3","AmE")</f>
        <v/>
      </c>
      <c r="I1673" s="18">
        <f>HYPERLINK("http://dict.youdao.com/w/"&amp;B1673,"有道")</f>
        <v/>
      </c>
    </row>
    <row r="1674">
      <c r="B1674" s="1" t="inlineStr">
        <is>
          <t>sect</t>
        </is>
      </c>
      <c r="C1674" s="7">
        <f>"n. 宗派"</f>
        <v/>
      </c>
      <c r="G1674" s="18">
        <f>HYPERLINK("D:\python\英语学习\voices\"&amp;B1674&amp;"_1.mp3","BrE")</f>
        <v/>
      </c>
      <c r="H1674" s="18">
        <f>HYPERLINK("D:\python\英语学习\voices\"&amp;B1674&amp;"_2.mp3","AmE")</f>
        <v/>
      </c>
      <c r="I1674" s="18">
        <f>HYPERLINK("http://dict.youdao.com/w/"&amp;B1674,"有道")</f>
        <v/>
      </c>
    </row>
    <row customHeight="1" ht="42.75" r="1675">
      <c r="B1675" s="1" t="inlineStr">
        <is>
          <t>section</t>
        </is>
      </c>
      <c r="C1675" s="7">
        <f>"n. 截面；部分；部门；地区；章节"&amp;CHAR(10)&amp;"vi. 被切割成片；被分成部分"&amp;CHAR(10)&amp;"vt. 把…分段；将…切片；对…进行划分"</f>
        <v/>
      </c>
      <c r="G1675" s="18">
        <f>HYPERLINK("D:\python\英语学习\voices\"&amp;B1675&amp;"_1.mp3","BrE")</f>
        <v/>
      </c>
      <c r="H1675" s="18">
        <f>HYPERLINK("D:\python\英语学习\voices\"&amp;B1675&amp;"_2.mp3","AmE")</f>
        <v/>
      </c>
      <c r="I1675" s="18">
        <f>HYPERLINK("http://dict.youdao.com/w/"&amp;B1675,"有道")</f>
        <v/>
      </c>
    </row>
    <row r="1676">
      <c r="B1676" s="1" t="inlineStr">
        <is>
          <t>seedling</t>
        </is>
      </c>
      <c r="C1676" s="7">
        <f>"n. 秧苗，幼苗；树苗"</f>
        <v/>
      </c>
      <c r="G1676" s="18">
        <f>HYPERLINK("D:\python\英语学习\voices\"&amp;B1676&amp;"_1.mp3","BrE")</f>
        <v/>
      </c>
      <c r="H1676" s="18">
        <f>HYPERLINK("D:\python\英语学习\voices\"&amp;B1676&amp;"_2.mp3","AmE")</f>
        <v/>
      </c>
      <c r="I1676" s="18">
        <f>HYPERLINK("http://dict.youdao.com/w/"&amp;B1676,"有道")</f>
        <v/>
      </c>
    </row>
    <row customHeight="1" ht="28.5" r="1677">
      <c r="B1677" s="1" t="inlineStr">
        <is>
          <t>seething</t>
        </is>
      </c>
      <c r="C1677" s="7">
        <f>"adj. 火热的，沸腾的"&amp;CHAR(10)&amp;"v. 浸透；煮沸；激动（seethe的ing形式）"</f>
        <v/>
      </c>
      <c r="G1677" s="18">
        <f>HYPERLINK("D:\python\英语学习\voices\"&amp;B1677&amp;"_1.mp3","BrE")</f>
        <v/>
      </c>
      <c r="H1677" s="18">
        <f>HYPERLINK("D:\python\英语学习\voices\"&amp;B1677&amp;"_2.mp3","AmE")</f>
        <v/>
      </c>
      <c r="I1677" s="18">
        <f>HYPERLINK("http://dict.youdao.com/w/"&amp;B1677,"有道")</f>
        <v/>
      </c>
    </row>
    <row customHeight="1" ht="42.75" r="1678">
      <c r="B1678" s="1" t="inlineStr">
        <is>
          <t>segment</t>
        </is>
      </c>
      <c r="C1678" s="7">
        <f>"vi. 分割"&amp;CHAR(10)&amp;"n. 段；部分"&amp;CHAR(10)&amp;"vt. 分割"</f>
        <v/>
      </c>
      <c r="G1678" s="18">
        <f>HYPERLINK("D:\python\英语学习\voices\"&amp;B1678&amp;"_1.mp3","BrE")</f>
        <v/>
      </c>
      <c r="H1678" s="18">
        <f>HYPERLINK("D:\python\英语学习\voices\"&amp;B1678&amp;"_2.mp3","AmE")</f>
        <v/>
      </c>
      <c r="I1678" s="18">
        <f>HYPERLINK("http://dict.youdao.com/w/"&amp;B1678,"有道")</f>
        <v/>
      </c>
    </row>
    <row r="1679">
      <c r="B1679" s="1" t="inlineStr">
        <is>
          <t>segregate</t>
        </is>
      </c>
      <c r="C1679" s="7">
        <f>"vt. 使隔离；使分离；在…实行种族隔离"</f>
        <v/>
      </c>
      <c r="G1679" s="18">
        <f>HYPERLINK("D:\python\英语学习\voices\"&amp;B1679&amp;"_1.mp3","BrE")</f>
        <v/>
      </c>
      <c r="H1679" s="18">
        <f>HYPERLINK("D:\python\英语学习\voices\"&amp;B1679&amp;"_2.mp3","AmE")</f>
        <v/>
      </c>
      <c r="I1679" s="18">
        <f>HYPERLINK("http://dict.youdao.com/w/"&amp;B1679,"有道")</f>
        <v/>
      </c>
    </row>
    <row r="1680">
      <c r="B1680" s="1" t="inlineStr">
        <is>
          <t>semantic</t>
        </is>
      </c>
      <c r="C1680" s="7">
        <f>"adj. 语义的；语义学的（等于semantical）"</f>
        <v/>
      </c>
      <c r="G1680" s="18">
        <f>HYPERLINK("D:\python\英语学习\voices\"&amp;B1680&amp;"_1.mp3","BrE")</f>
        <v/>
      </c>
      <c r="H1680" s="18">
        <f>HYPERLINK("D:\python\英语学习\voices\"&amp;B1680&amp;"_2.mp3","AmE")</f>
        <v/>
      </c>
      <c r="I1680" s="18">
        <f>HYPERLINK("http://dict.youdao.com/w/"&amp;B1680,"有道")</f>
        <v/>
      </c>
    </row>
    <row r="1681">
      <c r="A1681" s="1" t="inlineStr">
        <is>
          <t>unnecessary</t>
        </is>
      </c>
      <c r="B1681" s="1" t="inlineStr">
        <is>
          <t>semiconductor</t>
        </is>
      </c>
      <c r="C1681" s="7">
        <f>"n. [电子][物] 半导体"</f>
        <v/>
      </c>
      <c r="G1681" s="18">
        <f>HYPERLINK("D:\python\英语学习\voices\"&amp;B1681&amp;"_1.mp3","BrE")</f>
        <v/>
      </c>
      <c r="H1681" s="18">
        <f>HYPERLINK("D:\python\英语学习\voices\"&amp;B1681&amp;"_2.mp3","AmE")</f>
        <v/>
      </c>
      <c r="I1681" s="18">
        <f>HYPERLINK("http://dict.youdao.com/w/"&amp;B1681,"有道")</f>
        <v/>
      </c>
    </row>
    <row customHeight="1" ht="42.75" r="1682">
      <c r="B1682" s="1" t="inlineStr">
        <is>
          <t>senator</t>
        </is>
      </c>
      <c r="C1682" s="7">
        <f>"n. 参议员；（古罗马的）元老院议员；评议员，理事"&amp;CHAR(10)&amp;"n. (Senator)人名；(瑞典、斯威)塞纳托尔"</f>
        <v/>
      </c>
      <c r="G1682" s="18">
        <f>HYPERLINK("D:\python\英语学习\voices\"&amp;B1682&amp;"_1.mp3","BrE")</f>
        <v/>
      </c>
      <c r="H1682" s="18">
        <f>HYPERLINK("D:\python\英语学习\voices\"&amp;B1682&amp;"_2.mp3","AmE")</f>
        <v/>
      </c>
      <c r="I1682" s="18">
        <f>HYPERLINK("http://dict.youdao.com/w/"&amp;B1682,"有道")</f>
        <v/>
      </c>
    </row>
    <row r="1683">
      <c r="B1683" s="1" t="inlineStr">
        <is>
          <t>sensation</t>
        </is>
      </c>
      <c r="C1683" s="7">
        <f>"n. 感觉；轰动；感动"</f>
        <v/>
      </c>
      <c r="G1683" s="18">
        <f>HYPERLINK("D:\python\英语学习\voices\"&amp;B1683&amp;"_1.mp3","BrE")</f>
        <v/>
      </c>
      <c r="H1683" s="18">
        <f>HYPERLINK("D:\python\英语学习\voices\"&amp;B1683&amp;"_2.mp3","AmE")</f>
        <v/>
      </c>
      <c r="I1683" s="18">
        <f>HYPERLINK("http://dict.youdao.com/w/"&amp;B1683,"有道")</f>
        <v/>
      </c>
    </row>
    <row r="1684">
      <c r="B1684" s="1" t="inlineStr">
        <is>
          <t>senseless</t>
        </is>
      </c>
      <c r="C1684" s="7">
        <f>"adj. 愚蠢的；无知觉的；无意识的"</f>
        <v/>
      </c>
      <c r="G1684" s="18">
        <f>HYPERLINK("D:\python\英语学习\voices\"&amp;B1684&amp;"_1.mp3","BrE")</f>
        <v/>
      </c>
      <c r="H1684" s="18">
        <f>HYPERLINK("D:\python\英语学习\voices\"&amp;B1684&amp;"_2.mp3","AmE")</f>
        <v/>
      </c>
      <c r="I1684" s="18">
        <f>HYPERLINK("http://dict.youdao.com/w/"&amp;B1684,"有道")</f>
        <v/>
      </c>
    </row>
    <row r="1685">
      <c r="B1685" s="1" t="inlineStr">
        <is>
          <t>sensory</t>
        </is>
      </c>
      <c r="C1685" s="7">
        <f>"adj. 感觉的；知觉的；传递感觉的"</f>
        <v/>
      </c>
      <c r="G1685" s="18">
        <f>HYPERLINK("D:\python\英语学习\voices\"&amp;B1685&amp;"_1.mp3","BrE")</f>
        <v/>
      </c>
      <c r="H1685" s="18">
        <f>HYPERLINK("D:\python\英语学习\voices\"&amp;B1685&amp;"_2.mp3","AmE")</f>
        <v/>
      </c>
      <c r="I1685" s="18">
        <f>HYPERLINK("http://dict.youdao.com/w/"&amp;B1685,"有道")</f>
        <v/>
      </c>
    </row>
    <row r="1686">
      <c r="B1686" s="1" t="inlineStr">
        <is>
          <t>sequel</t>
        </is>
      </c>
      <c r="C1686" s="7">
        <f>"n. 续集；结局；继续；后果"</f>
        <v/>
      </c>
      <c r="G1686" s="18">
        <f>HYPERLINK("D:\python\英语学习\voices\"&amp;B1686&amp;"_1.mp3","BrE")</f>
        <v/>
      </c>
      <c r="H1686" s="18">
        <f>HYPERLINK("D:\python\英语学习\voices\"&amp;B1686&amp;"_2.mp3","AmE")</f>
        <v/>
      </c>
      <c r="I1686" s="18">
        <f>HYPERLINK("http://dict.youdao.com/w/"&amp;B1686,"有道")</f>
        <v/>
      </c>
    </row>
    <row customHeight="1" ht="28.5" r="1687">
      <c r="B1687" s="1" t="inlineStr">
        <is>
          <t>serial</t>
        </is>
      </c>
      <c r="C1687" s="7">
        <f>"adj. 连续的；连载的；分期偿还的"&amp;CHAR(10)&amp;"n. 电视连续剧；[图情] 期刊；连载小说"</f>
        <v/>
      </c>
      <c r="G1687" s="18">
        <f>HYPERLINK("D:\python\英语学习\voices\"&amp;B1687&amp;"_1.mp3","BrE")</f>
        <v/>
      </c>
      <c r="H1687" s="18">
        <f>HYPERLINK("D:\python\英语学习\voices\"&amp;B1687&amp;"_2.mp3","AmE")</f>
        <v/>
      </c>
      <c r="I1687" s="18">
        <f>HYPERLINK("http://dict.youdao.com/w/"&amp;B1687,"有道")</f>
        <v/>
      </c>
    </row>
    <row customHeight="1" ht="57" r="1688">
      <c r="B1688" s="1" t="inlineStr">
        <is>
          <t>sermon</t>
        </is>
      </c>
      <c r="C1688" s="7">
        <f>"n. 布道；训诫；启示；冗长的讲话"&amp;CHAR(10)&amp;"vt. 对…布道；对…说教"&amp;CHAR(10)&amp;"vi. 布道"&amp;CHAR(10)&amp;"n. (Sermon)人名；(英)瑟蒙；(意)塞尔蒙"</f>
        <v/>
      </c>
      <c r="G1688" s="18">
        <f>HYPERLINK("D:\python\英语学习\voices\"&amp;B1688&amp;"_1.mp3","BrE")</f>
        <v/>
      </c>
      <c r="H1688" s="18">
        <f>HYPERLINK("D:\python\英语学习\voices\"&amp;B1688&amp;"_2.mp3","AmE")</f>
        <v/>
      </c>
      <c r="I1688" s="18">
        <f>HYPERLINK("http://dict.youdao.com/w/"&amp;B1688,"有道")</f>
        <v/>
      </c>
    </row>
    <row r="1689">
      <c r="B1689" s="1" t="inlineStr">
        <is>
          <t>serpent</t>
        </is>
      </c>
      <c r="C1689" s="7">
        <f>"n. 蛇（尤指大蛇或毒蛇）；狡猾的人"</f>
        <v/>
      </c>
      <c r="G1689" s="18">
        <f>HYPERLINK("D:\python\英语学习\voices\"&amp;B1689&amp;"_1.mp3","BrE")</f>
        <v/>
      </c>
      <c r="H1689" s="18">
        <f>HYPERLINK("D:\python\英语学习\voices\"&amp;B1689&amp;"_2.mp3","AmE")</f>
        <v/>
      </c>
      <c r="I1689" s="18">
        <f>HYPERLINK("http://dict.youdao.com/w/"&amp;B1689,"有道")</f>
        <v/>
      </c>
    </row>
    <row customHeight="1" ht="28.5" r="1690">
      <c r="B1690" s="1" t="inlineStr">
        <is>
          <t>serum</t>
        </is>
      </c>
      <c r="C1690" s="7">
        <f>"n. 血清；浆液；免疫血清；乳清；树液"&amp;CHAR(10)&amp;"n. (Serum)人名；(挪)塞吕姆"</f>
        <v/>
      </c>
      <c r="G1690" s="18">
        <f>HYPERLINK("D:\python\英语学习\voices\"&amp;B1690&amp;"_1.mp3","BrE")</f>
        <v/>
      </c>
      <c r="H1690" s="18">
        <f>HYPERLINK("D:\python\英语学习\voices\"&amp;B1690&amp;"_2.mp3","AmE")</f>
        <v/>
      </c>
      <c r="I1690" s="18">
        <f>HYPERLINK("http://dict.youdao.com/w/"&amp;B1690,"有道")</f>
        <v/>
      </c>
    </row>
    <row r="1691">
      <c r="B1691" s="1" t="inlineStr">
        <is>
          <t>setback</t>
        </is>
      </c>
      <c r="C1691" s="7">
        <f>"n. 挫折；退步；逆流"</f>
        <v/>
      </c>
      <c r="G1691" s="18">
        <f>HYPERLINK("D:\python\英语学习\voices\"&amp;B1691&amp;"_1.mp3","BrE")</f>
        <v/>
      </c>
      <c r="H1691" s="18">
        <f>HYPERLINK("D:\python\英语学习\voices\"&amp;B1691&amp;"_2.mp3","AmE")</f>
        <v/>
      </c>
      <c r="I1691" s="18">
        <f>HYPERLINK("http://dict.youdao.com/w/"&amp;B1691,"有道")</f>
        <v/>
      </c>
    </row>
    <row customHeight="1" ht="42.75" r="1692">
      <c r="B1692" s="1" t="inlineStr">
        <is>
          <t>setting</t>
        </is>
      </c>
      <c r="C1692" s="7">
        <f>"n. 环境；安装；布置；[天] 沉落"&amp;CHAR(10)&amp;"v. 放置；沉没；使…处于某位置（set的ing形式）"</f>
        <v/>
      </c>
      <c r="G1692" s="18">
        <f>HYPERLINK("D:\python\英语学习\voices\"&amp;B1692&amp;"_1.mp3","BrE")</f>
        <v/>
      </c>
      <c r="H1692" s="18">
        <f>HYPERLINK("D:\python\英语学习\voices\"&amp;B1692&amp;"_2.mp3","AmE")</f>
        <v/>
      </c>
      <c r="I1692" s="18">
        <f>HYPERLINK("http://dict.youdao.com/w/"&amp;B1692,"有道")</f>
        <v/>
      </c>
    </row>
    <row r="1693">
      <c r="B1693" s="1" t="inlineStr">
        <is>
          <t>settlement</t>
        </is>
      </c>
      <c r="C1693" s="7">
        <f>"n. 解决，处理；[会计] 结算；沉降；殖民"</f>
        <v/>
      </c>
      <c r="E1693" s="6" t="inlineStr">
        <is>
          <t>好多意思</t>
        </is>
      </c>
      <c r="G1693" s="18">
        <f>HYPERLINK("D:\python\英语学习\voices\"&amp;B1693&amp;"_1.mp3","BrE")</f>
        <v/>
      </c>
      <c r="H1693" s="18">
        <f>HYPERLINK("D:\python\英语学习\voices\"&amp;B1693&amp;"_2.mp3","AmE")</f>
        <v/>
      </c>
      <c r="I1693" s="18">
        <f>HYPERLINK("http://dict.youdao.com/w/"&amp;B1693,"有道")</f>
        <v/>
      </c>
    </row>
    <row customHeight="1" ht="57" r="1694">
      <c r="B1694" s="1" t="inlineStr">
        <is>
          <t>sever</t>
        </is>
      </c>
      <c r="C1694" s="7">
        <f>"vt. 割断，断绝；分开；使分离"&amp;CHAR(10)&amp;"vi. 断；裂开；分离"&amp;CHAR(10)&amp;"n. (Sever)人名；(俄)谢韦尔；(捷、塞、意、西、土、瑞典、罗)塞韦尔；(英)塞弗；(德)泽弗"</f>
        <v/>
      </c>
      <c r="G1694" s="18">
        <f>HYPERLINK("D:\python\英语学习\voices\"&amp;B1694&amp;"_1.mp3","BrE")</f>
        <v/>
      </c>
      <c r="H1694" s="18">
        <f>HYPERLINK("D:\python\英语学习\voices\"&amp;B1694&amp;"_2.mp3","AmE")</f>
        <v/>
      </c>
      <c r="I1694" s="18">
        <f>HYPERLINK("http://dict.youdao.com/w/"&amp;B1694,"有道")</f>
        <v/>
      </c>
    </row>
    <row customHeight="1" ht="28.5" r="1695">
      <c r="B1695" s="1" t="inlineStr">
        <is>
          <t>sew</t>
        </is>
      </c>
      <c r="C1695" s="7">
        <f>"vt. 缝合，缝上；缝纫"&amp;CHAR(10)&amp;"vi. 缝纫，缝"</f>
        <v/>
      </c>
      <c r="G1695" s="18">
        <f>HYPERLINK("D:\python\英语学习\voices\"&amp;B1695&amp;"_1.mp3","BrE")</f>
        <v/>
      </c>
      <c r="H1695" s="18">
        <f>HYPERLINK("D:\python\英语学习\voices\"&amp;B1695&amp;"_2.mp3","AmE")</f>
        <v/>
      </c>
      <c r="I1695" s="18">
        <f>HYPERLINK("http://dict.youdao.com/w/"&amp;B1695,"有道")</f>
        <v/>
      </c>
    </row>
    <row r="1696">
      <c r="B1696" s="1" t="inlineStr">
        <is>
          <t>shabby</t>
        </is>
      </c>
      <c r="C1696" s="7">
        <f>"adj. 破旧的；卑鄙的；吝啬的；低劣的"</f>
        <v/>
      </c>
      <c r="G1696" s="18">
        <f>HYPERLINK("D:\python\英语学习\voices\"&amp;B1696&amp;"_1.mp3","BrE")</f>
        <v/>
      </c>
      <c r="H1696" s="18">
        <f>HYPERLINK("D:\python\英语学习\voices\"&amp;B1696&amp;"_2.mp3","AmE")</f>
        <v/>
      </c>
      <c r="I1696" s="18">
        <f>HYPERLINK("http://dict.youdao.com/w/"&amp;B1696,"有道")</f>
        <v/>
      </c>
    </row>
    <row r="1697">
      <c r="B1697" s="1" t="inlineStr">
        <is>
          <t>shadowy</t>
        </is>
      </c>
      <c r="C1697" s="7">
        <f>"adj. 朦胧的；有阴影的；虚无的；暗黑的"</f>
        <v/>
      </c>
      <c r="G1697" s="18">
        <f>HYPERLINK("D:\python\英语学习\voices\"&amp;B1697&amp;"_1.mp3","BrE")</f>
        <v/>
      </c>
      <c r="H1697" s="18">
        <f>HYPERLINK("D:\python\英语学习\voices\"&amp;B1697&amp;"_2.mp3","AmE")</f>
        <v/>
      </c>
      <c r="I1697" s="18">
        <f>HYPERLINK("http://dict.youdao.com/w/"&amp;B1697,"有道")</f>
        <v/>
      </c>
    </row>
    <row customHeight="1" ht="28.5" r="1698">
      <c r="B1698" s="1" t="inlineStr">
        <is>
          <t>shaft</t>
        </is>
      </c>
      <c r="C1698" s="7">
        <f>"n. 拍杆；[机] 轴；箭杆；杆状物"&amp;CHAR(10)&amp;"vt. 利用；在……上装杆"</f>
        <v/>
      </c>
      <c r="E1698" s="6" t="inlineStr">
        <is>
          <t>elevator shaft电梯井</t>
        </is>
      </c>
      <c r="G1698" s="18">
        <f>HYPERLINK("D:\python\英语学习\voices\"&amp;B1698&amp;"_1.mp3","BrE")</f>
        <v/>
      </c>
      <c r="H1698" s="18">
        <f>HYPERLINK("D:\python\英语学习\voices\"&amp;B1698&amp;"_2.mp3","AmE")</f>
        <v/>
      </c>
      <c r="I1698" s="18">
        <f>HYPERLINK("http://dict.youdao.com/w/"&amp;B1698,"有道")</f>
        <v/>
      </c>
    </row>
    <row customHeight="1" ht="71.25" r="1699">
      <c r="B1699" s="1" t="inlineStr">
        <is>
          <t>shallow</t>
        </is>
      </c>
      <c r="C1699" s="7">
        <f>"adj. 浅的；肤浅的"&amp;CHAR(10)&amp;"n. [地理] 浅滩"&amp;CHAR(10)&amp;"vt. 使变浅"&amp;CHAR(10)&amp;"vi. 变浅"&amp;CHAR(10)&amp;"n. (Shallow)人名；(英)沙洛"</f>
        <v/>
      </c>
      <c r="G1699" s="18">
        <f>HYPERLINK("D:\python\英语学习\voices\"&amp;B1699&amp;"_1.mp3","BrE")</f>
        <v/>
      </c>
      <c r="H1699" s="18">
        <f>HYPERLINK("D:\python\英语学习\voices\"&amp;B1699&amp;"_2.mp3","AmE")</f>
        <v/>
      </c>
      <c r="I1699" s="18">
        <f>HYPERLINK("http://dict.youdao.com/w/"&amp;B1699,"有道")</f>
        <v/>
      </c>
    </row>
    <row customHeight="1" ht="71.25" r="1700">
      <c r="B1700" s="1" t="inlineStr">
        <is>
          <t>sham</t>
        </is>
      </c>
      <c r="C1700" s="7">
        <f>"n. 假装；骗子；赝品"&amp;CHAR(10)&amp;"vt. 假装；冒充"&amp;CHAR(10)&amp;"vi. 假装；佯装"&amp;CHAR(10)&amp;"adj. 假的；虚假的；假装的"&amp;CHAR(10)&amp;"n. (Sham)人名；(英、印、毛里塔)沙姆"</f>
        <v/>
      </c>
      <c r="G1700" s="18">
        <f>HYPERLINK("D:\python\英语学习\voices\"&amp;B1700&amp;"_1.mp3","BrE")</f>
        <v/>
      </c>
      <c r="H1700" s="18">
        <f>HYPERLINK("D:\python\英语学习\voices\"&amp;B1700&amp;"_2.mp3","AmE")</f>
        <v/>
      </c>
      <c r="I1700" s="18">
        <f>HYPERLINK("http://dict.youdao.com/w/"&amp;B1700,"有道")</f>
        <v/>
      </c>
    </row>
    <row customHeight="1" ht="29.1" r="1701">
      <c r="B1701" s="1" t="inlineStr">
        <is>
          <t>shameful</t>
        </is>
      </c>
      <c r="C1701" s="7">
        <f>"adj. 可耻的；不体面的；不道德的；猥亵的"</f>
        <v/>
      </c>
      <c r="G1701" s="18">
        <f>HYPERLINK("D:\python\英语学习\voices\"&amp;B1701&amp;"_1.mp3","BrE")</f>
        <v/>
      </c>
      <c r="H1701" s="18">
        <f>HYPERLINK("D:\python\英语学习\voices\"&amp;B1701&amp;"_2.mp3","AmE")</f>
        <v/>
      </c>
      <c r="I1701" s="18">
        <f>HYPERLINK("http://dict.youdao.com/w/"&amp;B1701,"有道")</f>
        <v/>
      </c>
    </row>
    <row customHeight="1" ht="42.75" r="1702">
      <c r="B1702" s="1" t="inlineStr">
        <is>
          <t>shatter</t>
        </is>
      </c>
      <c r="C1702" s="7">
        <f>"vt. 粉碎；打碎；破坏；破掉；使散开"&amp;CHAR(10)&amp;"vi. 粉碎；损坏；落叶"&amp;CHAR(10)&amp;"n. 碎片；乱七八糟的状态"</f>
        <v/>
      </c>
      <c r="G1702" s="18">
        <f>HYPERLINK("D:\python\英语学习\voices\"&amp;B1702&amp;"_1.mp3","BrE")</f>
        <v/>
      </c>
      <c r="H1702" s="18">
        <f>HYPERLINK("D:\python\英语学习\voices\"&amp;B1702&amp;"_2.mp3","AmE")</f>
        <v/>
      </c>
      <c r="I1702" s="18">
        <f>HYPERLINK("http://dict.youdao.com/w/"&amp;B1702,"有道")</f>
        <v/>
      </c>
    </row>
    <row customHeight="1" ht="71.25" r="1703">
      <c r="B1703" s="1" t="inlineStr">
        <is>
          <t>sheer</t>
        </is>
      </c>
      <c r="C1703" s="7">
        <f>"adj. 绝对的；透明的；峻峭的；纯粹的"&amp;CHAR(10)&amp;"adv. 完全；陡峭地"&amp;CHAR(10)&amp;"vi. 偏航"&amp;CHAR(10)&amp;"vt. 使偏航；使急转向"&amp;CHAR(10)&amp;"n. 偏航；透明薄织物"</f>
        <v/>
      </c>
      <c r="G1703" s="18">
        <f>HYPERLINK("D:\python\英语学习\voices\"&amp;B1703&amp;"_1.mp3","BrE")</f>
        <v/>
      </c>
      <c r="H1703" s="18">
        <f>HYPERLINK("D:\python\英语学习\voices\"&amp;B1703&amp;"_2.mp3","AmE")</f>
        <v/>
      </c>
      <c r="I1703" s="18">
        <f>HYPERLINK("http://dict.youdao.com/w/"&amp;B1703,"有道")</f>
        <v/>
      </c>
    </row>
    <row customHeight="1" ht="42.75" r="1704">
      <c r="B1704" s="1" t="inlineStr">
        <is>
          <t>shepherd</t>
        </is>
      </c>
      <c r="C1704" s="7">
        <f>"vt. 牧羊；带领；指导；看管"&amp;CHAR(10)&amp;"n. 牧羊人；牧师；指导者"&amp;CHAR(10)&amp;"n. (Shepherd)人名；(英)谢泼德"</f>
        <v/>
      </c>
      <c r="G1704" s="18">
        <f>HYPERLINK("D:\python\英语学习\voices\"&amp;B1704&amp;"_1.mp3","BrE")</f>
        <v/>
      </c>
      <c r="H1704" s="18">
        <f>HYPERLINK("D:\python\英语学习\voices\"&amp;B1704&amp;"_2.mp3","AmE")</f>
        <v/>
      </c>
      <c r="I1704" s="18">
        <f>HYPERLINK("http://dict.youdao.com/w/"&amp;B1704,"有道")</f>
        <v/>
      </c>
    </row>
    <row customHeight="1" ht="42.75" r="1705">
      <c r="B1705" s="1" t="inlineStr">
        <is>
          <t>shift</t>
        </is>
      </c>
      <c r="C1705" s="7">
        <f>"n. 移动；变化；手段；轮班"&amp;CHAR(10)&amp;"vi. 移动；转变；转换"&amp;CHAR(10)&amp;"vt. 转移；改变；替换"</f>
        <v/>
      </c>
      <c r="G1705" s="18">
        <f>HYPERLINK("D:\python\英语学习\voices\"&amp;B1705&amp;"_1.mp3","BrE")</f>
        <v/>
      </c>
      <c r="H1705" s="18">
        <f>HYPERLINK("D:\python\英语学习\voices\"&amp;B1705&amp;"_2.mp3","AmE")</f>
        <v/>
      </c>
      <c r="I1705" s="18">
        <f>HYPERLINK("http://dict.youdao.com/w/"&amp;B1705,"有道")</f>
        <v/>
      </c>
    </row>
    <row customHeight="1" ht="42.75" r="1706">
      <c r="B1706" s="1" t="inlineStr">
        <is>
          <t>shipment</t>
        </is>
      </c>
      <c r="C1706" s="7">
        <f>"n. 装货"&amp;CHAR(10)&amp;"n. 装载的货物"&amp;CHAR(10)&amp;"n. 出货量"</f>
        <v/>
      </c>
      <c r="G1706" s="18">
        <f>HYPERLINK("D:\python\英语学习\voices\"&amp;B1706&amp;"_1.mp3","BrE")</f>
        <v/>
      </c>
      <c r="H1706" s="18">
        <f>HYPERLINK("D:\python\英语学习\voices\"&amp;B1706&amp;"_2.mp3","AmE")</f>
        <v/>
      </c>
      <c r="I1706" s="18">
        <f>HYPERLINK("http://dict.youdao.com/w/"&amp;B1706,"有道")</f>
        <v/>
      </c>
    </row>
    <row customHeight="1" ht="28.5" r="1707">
      <c r="B1707" s="1" t="inlineStr">
        <is>
          <t>shipwreck</t>
        </is>
      </c>
      <c r="C1707" s="7">
        <f>"n. 海难；遇难船"&amp;CHAR(10)&amp;"vt. 使失事；使毁灭；使失败"</f>
        <v/>
      </c>
      <c r="G1707" s="18">
        <f>HYPERLINK("D:\python\英语学习\voices\"&amp;B1707&amp;"_1.mp3","BrE")</f>
        <v/>
      </c>
      <c r="H1707" s="18">
        <f>HYPERLINK("D:\python\英语学习\voices\"&amp;B1707&amp;"_2.mp3","AmE")</f>
        <v/>
      </c>
      <c r="I1707" s="18">
        <f>HYPERLINK("http://dict.youdao.com/w/"&amp;B1707,"有道")</f>
        <v/>
      </c>
    </row>
    <row customHeight="1" ht="28.5" r="1708">
      <c r="B1708" s="1" t="inlineStr">
        <is>
          <t>shorthand</t>
        </is>
      </c>
      <c r="C1708" s="7">
        <f>"n. 速记；速记法"&amp;CHAR(10)&amp;"adj. 速记法的"</f>
        <v/>
      </c>
      <c r="G1708" s="18">
        <f>HYPERLINK("D:\python\英语学习\voices\"&amp;B1708&amp;"_1.mp3","BrE")</f>
        <v/>
      </c>
      <c r="H1708" s="18">
        <f>HYPERLINK("D:\python\英语学习\voices\"&amp;B1708&amp;"_2.mp3","AmE")</f>
        <v/>
      </c>
      <c r="I1708" s="18">
        <f>HYPERLINK("http://dict.youdao.com/w/"&amp;B1708,"有道")</f>
        <v/>
      </c>
    </row>
    <row customHeight="1" ht="42.75" r="1709">
      <c r="B1709" s="1" t="inlineStr">
        <is>
          <t>shove</t>
        </is>
      </c>
      <c r="C1709" s="7">
        <f>"vt. 挤；强使；撞；猛推"&amp;CHAR(10)&amp;"n. 推；挤"&amp;CHAR(10)&amp;"n. (Shove)人名；(英)肖夫"</f>
        <v/>
      </c>
      <c r="G1709" s="18">
        <f>HYPERLINK("D:\python\英语学习\voices\"&amp;B1709&amp;"_1.mp3","BrE")</f>
        <v/>
      </c>
      <c r="H1709" s="18">
        <f>HYPERLINK("D:\python\英语学习\voices\"&amp;B1709&amp;"_2.mp3","AmE")</f>
        <v/>
      </c>
      <c r="I1709" s="18">
        <f>HYPERLINK("http://dict.youdao.com/w/"&amp;B1709,"有道")</f>
        <v/>
      </c>
    </row>
    <row customHeight="1" ht="42.75" r="1710">
      <c r="B1710" s="1" t="inlineStr">
        <is>
          <t>shred</t>
        </is>
      </c>
      <c r="C1710" s="7">
        <f>"n. 碎片；少量剩余；最少量；破布"&amp;CHAR(10)&amp;"vt. 切成条状；用碎纸机撕毁"&amp;CHAR(10)&amp;"vi. 撕碎"</f>
        <v/>
      </c>
      <c r="G1710" s="18">
        <f>HYPERLINK("D:\python\英语学习\voices\"&amp;B1710&amp;"_1.mp3","BrE")</f>
        <v/>
      </c>
      <c r="H1710" s="18">
        <f>HYPERLINK("D:\python\英语学习\voices\"&amp;B1710&amp;"_2.mp3","AmE")</f>
        <v/>
      </c>
      <c r="I1710" s="18">
        <f>HYPERLINK("http://dict.youdao.com/w/"&amp;B1710,"有道")</f>
        <v/>
      </c>
    </row>
    <row r="1711">
      <c r="B1711" s="1" t="inlineStr">
        <is>
          <t>shrew</t>
        </is>
      </c>
      <c r="C1711" s="7">
        <f>"n. 泼妇，悍妇"</f>
        <v/>
      </c>
      <c r="E1711" s="6" t="inlineStr">
        <is>
          <t>taming of the shrew</t>
        </is>
      </c>
      <c r="G1711" s="18">
        <f>HYPERLINK("D:\python\英语学习\voices\"&amp;B1711&amp;"_1.mp3","BrE")</f>
        <v/>
      </c>
      <c r="H1711" s="18">
        <f>HYPERLINK("D:\python\英语学习\voices\"&amp;B1711&amp;"_2.mp3","AmE")</f>
        <v/>
      </c>
      <c r="I1711" s="18">
        <f>HYPERLINK("http://dict.youdao.com/w/"&amp;B1711,"有道")</f>
        <v/>
      </c>
    </row>
    <row customHeight="1" ht="28.5" r="1712">
      <c r="B1712" s="1" t="inlineStr">
        <is>
          <t>shrewd</t>
        </is>
      </c>
      <c r="C1712" s="7">
        <f>"adj. 精明的；狡猾的；机灵的"&amp;CHAR(10)&amp;"n. 精明（的人）；机灵（的人）"</f>
        <v/>
      </c>
      <c r="E1712" s="6" t="inlineStr">
        <is>
          <t>注意拼写-不是ed</t>
        </is>
      </c>
      <c r="G1712" s="18">
        <f>HYPERLINK("D:\python\英语学习\voices\"&amp;B1712&amp;"_1.mp3","BrE")</f>
        <v/>
      </c>
      <c r="H1712" s="18">
        <f>HYPERLINK("D:\python\英语学习\voices\"&amp;B1712&amp;"_2.mp3","AmE")</f>
        <v/>
      </c>
      <c r="I1712" s="18">
        <f>HYPERLINK("http://dict.youdao.com/w/"&amp;B1712,"有道")</f>
        <v/>
      </c>
    </row>
    <row customHeight="1" ht="42.75" r="1713">
      <c r="A1713" s="1" t="inlineStr">
        <is>
          <t>practice</t>
        </is>
      </c>
      <c r="B1713" s="1" t="inlineStr">
        <is>
          <t>haul</t>
        </is>
      </c>
      <c r="C1713" s="7">
        <f>"n. 拖，拉；用力拖拉；努力得到的结果；捕获物；一网捕获的鱼量；拖运距离"&amp;CHAR(10)&amp;"vt. 拖运；拖拉"&amp;CHAR(10)&amp;"vi. 拖，拉；改变主意；改变方向"&amp;CHAR(10)&amp;"n. (Haul)人名；(德)豪尔"</f>
        <v/>
      </c>
      <c r="G1713" s="18">
        <f>HYPERLINK("D:\python\英语学习\voices\"&amp;B1713&amp;"_1.mp3","BrE")</f>
        <v/>
      </c>
      <c r="H1713" s="18">
        <f>HYPERLINK("D:\python\英语学习\voices\"&amp;B1713&amp;"_2.mp3","AmE")</f>
        <v/>
      </c>
      <c r="I1713" s="18">
        <f>HYPERLINK("http://dict.youdao.com/w/"&amp;B1713,"有道")</f>
        <v/>
      </c>
    </row>
    <row customHeight="1" ht="28.5" r="1714">
      <c r="B1714" s="1" t="inlineStr">
        <is>
          <t>shrine</t>
        </is>
      </c>
      <c r="C1714" s="7">
        <f>"n. 圣地；神殿；神龛；圣祠"&amp;CHAR(10)&amp;"vt. 将…置于神龛内；把…奉为神圣"</f>
        <v/>
      </c>
      <c r="G1714" s="18">
        <f>HYPERLINK("D:\python\英语学习\voices\"&amp;B1714&amp;"_1.mp3","BrE")</f>
        <v/>
      </c>
      <c r="H1714" s="18">
        <f>HYPERLINK("D:\python\英语学习\voices\"&amp;B1714&amp;"_2.mp3","AmE")</f>
        <v/>
      </c>
      <c r="I1714" s="18">
        <f>HYPERLINK("http://dict.youdao.com/w/"&amp;B1714,"有道")</f>
        <v/>
      </c>
    </row>
    <row r="1715">
      <c r="B1715" s="1" t="inlineStr">
        <is>
          <t>shrub</t>
        </is>
      </c>
      <c r="C1715" s="7">
        <f>"n. 灌木；灌木丛"</f>
        <v/>
      </c>
      <c r="G1715" s="18">
        <f>HYPERLINK("D:\python\英语学习\voices\"&amp;B1715&amp;"_1.mp3","BrE")</f>
        <v/>
      </c>
      <c r="H1715" s="18">
        <f>HYPERLINK("D:\python\英语学习\voices\"&amp;B1715&amp;"_2.mp3","AmE")</f>
        <v/>
      </c>
      <c r="I1715" s="18">
        <f>HYPERLINK("http://dict.youdao.com/w/"&amp;B1715,"有道")</f>
        <v/>
      </c>
    </row>
    <row customHeight="1" ht="42.75" r="1716">
      <c r="B1716" s="1" t="inlineStr">
        <is>
          <t>shrug</t>
        </is>
      </c>
      <c r="C1716" s="7">
        <f>"vt. 耸肩，耸肩表示"&amp;CHAR(10)&amp;"n. 耸肩"&amp;CHAR(10)&amp;"vi. 耸肩"</f>
        <v/>
      </c>
      <c r="G1716" s="18">
        <f>HYPERLINK("D:\python\英语学习\voices\"&amp;B1716&amp;"_1.mp3","BrE")</f>
        <v/>
      </c>
      <c r="H1716" s="18">
        <f>HYPERLINK("D:\python\英语学习\voices\"&amp;B1716&amp;"_2.mp3","AmE")</f>
        <v/>
      </c>
      <c r="I1716" s="18">
        <f>HYPERLINK("http://dict.youdao.com/w/"&amp;B1716,"有道")</f>
        <v/>
      </c>
    </row>
    <row customHeight="1" ht="28.5" r="1717">
      <c r="B1717" s="1" t="inlineStr">
        <is>
          <t>shudder</t>
        </is>
      </c>
      <c r="C1717" s="7">
        <f>"n. 发抖；战栗；震动"&amp;CHAR(10)&amp;"vi. 发抖；战栗"</f>
        <v/>
      </c>
      <c r="G1717" s="18">
        <f>HYPERLINK("D:\python\英语学习\voices\"&amp;B1717&amp;"_1.mp3","BrE")</f>
        <v/>
      </c>
      <c r="H1717" s="18">
        <f>HYPERLINK("D:\python\英语学习\voices\"&amp;B1717&amp;"_2.mp3","AmE")</f>
        <v/>
      </c>
      <c r="I1717" s="18">
        <f>HYPERLINK("http://dict.youdao.com/w/"&amp;B1717,"有道")</f>
        <v/>
      </c>
    </row>
    <row customHeight="1" ht="42.75" r="1718">
      <c r="B1718" s="1" t="inlineStr">
        <is>
          <t>shuffle</t>
        </is>
      </c>
      <c r="C1718" s="7">
        <f>"v. 洗牌；推诿，推卸；拖曳，慢吞吞地走；搅乱"&amp;CHAR(10)&amp;"n. 洗牌，洗纸牌；混乱，蒙混；拖着脚走"</f>
        <v/>
      </c>
      <c r="G1718" s="18">
        <f>HYPERLINK("D:\python\英语学习\voices\"&amp;B1718&amp;"_1.mp3","BrE")</f>
        <v/>
      </c>
      <c r="H1718" s="18">
        <f>HYPERLINK("D:\python\英语学习\voices\"&amp;B1718&amp;"_2.mp3","AmE")</f>
        <v/>
      </c>
      <c r="I1718" s="18">
        <f>HYPERLINK("http://dict.youdao.com/w/"&amp;B1718,"有道")</f>
        <v/>
      </c>
    </row>
    <row customHeight="1" ht="28.5" r="1719">
      <c r="B1719" s="1" t="inlineStr">
        <is>
          <t>shutter</t>
        </is>
      </c>
      <c r="C1719" s="7">
        <f>"n. 快门；百叶窗；关闭物；遮板"&amp;CHAR(10)&amp;"vt. 为…装百叶窗；以百叶窗遮闭"</f>
        <v/>
      </c>
      <c r="G1719" s="18">
        <f>HYPERLINK("D:\python\英语学习\voices\"&amp;B1719&amp;"_1.mp3","BrE")</f>
        <v/>
      </c>
      <c r="H1719" s="18">
        <f>HYPERLINK("D:\python\英语学习\voices\"&amp;B1719&amp;"_2.mp3","AmE")</f>
        <v/>
      </c>
      <c r="I1719" s="18">
        <f>HYPERLINK("http://dict.youdao.com/w/"&amp;B1719,"有道")</f>
        <v/>
      </c>
    </row>
    <row customHeight="1" ht="57" r="1720">
      <c r="B1720" s="1" t="inlineStr">
        <is>
          <t>shuttle</t>
        </is>
      </c>
      <c r="C1720" s="7">
        <f>"n. 航天飞机；穿梭；梭子；穿梭班机、公共汽车等"&amp;CHAR(10)&amp;"vt. 使穿梭般来回移动；短程穿梭般运送"&amp;CHAR(10)&amp;"vi. 穿梭往返"</f>
        <v/>
      </c>
      <c r="G1720" s="18">
        <f>HYPERLINK("D:\python\英语学习\voices\"&amp;B1720&amp;"_1.mp3","BrE")</f>
        <v/>
      </c>
      <c r="H1720" s="18">
        <f>HYPERLINK("D:\python\英语学习\voices\"&amp;B1720&amp;"_2.mp3","AmE")</f>
        <v/>
      </c>
      <c r="I1720" s="18">
        <f>HYPERLINK("http://dict.youdao.com/w/"&amp;B1720,"有道")</f>
        <v/>
      </c>
    </row>
    <row customHeight="1" ht="28.5" r="1721">
      <c r="B1721" s="1" t="inlineStr">
        <is>
          <t>siege</t>
        </is>
      </c>
      <c r="C1721" s="7">
        <f>"n. 围攻；包围；围城；不断袭击；长期努力"&amp;CHAR(10)&amp;"vt. 围攻；包围"</f>
        <v/>
      </c>
      <c r="G1721" s="18">
        <f>HYPERLINK("D:\python\英语学习\voices\"&amp;B1721&amp;"_1.mp3","BrE")</f>
        <v/>
      </c>
      <c r="H1721" s="18">
        <f>HYPERLINK("D:\python\英语学习\voices\"&amp;B1721&amp;"_2.mp3","AmE")</f>
        <v/>
      </c>
      <c r="I1721" s="18">
        <f>HYPERLINK("http://dict.youdao.com/w/"&amp;B1721,"有道")</f>
        <v/>
      </c>
    </row>
    <row customHeight="1" ht="42.75" r="1722">
      <c r="B1722" s="1" t="inlineStr">
        <is>
          <t>sift</t>
        </is>
      </c>
      <c r="C1722" s="7">
        <f>"vt. 筛选；撒；过滤；详查"&amp;CHAR(10)&amp;"vi. 筛；详查；撒下；细究"&amp;CHAR(10)&amp;"n. (Sift)人名；(匈)希夫特"</f>
        <v/>
      </c>
      <c r="F1722" s="14" t="n"/>
      <c r="G1722" s="18">
        <f>HYPERLINK("D:\python\英语学习\voices\"&amp;B1722&amp;"_1.mp3","BrE")</f>
        <v/>
      </c>
      <c r="H1722" s="18">
        <f>HYPERLINK("D:\python\英语学习\voices\"&amp;B1722&amp;"_2.mp3","AmE")</f>
        <v/>
      </c>
      <c r="I1722" s="18">
        <f>HYPERLINK("http://dict.youdao.com/w/"&amp;B1722,"有道")</f>
        <v/>
      </c>
    </row>
    <row customHeight="1" ht="28.5" r="1723">
      <c r="A1723" t="inlineStr">
        <is>
          <t>practice</t>
        </is>
      </c>
      <c r="B1723" s="1" t="inlineStr">
        <is>
          <t>signify</t>
        </is>
      </c>
      <c r="C1723" s="7">
        <f>"vt. 表示；意味；预示"&amp;CHAR(10)&amp;"vi. 有重要性；要紧；冒充内行"</f>
        <v/>
      </c>
      <c r="F1723">
        <f>"The resulting work signifies a dramatic change in Moore’s style,"</f>
        <v/>
      </c>
      <c r="G1723" s="18">
        <f>HYPERLINK("D:\python\英语学习\voices\"&amp;B1723&amp;"_1.mp3","BrE")</f>
        <v/>
      </c>
      <c r="H1723" s="18">
        <f>HYPERLINK("D:\python\英语学习\voices\"&amp;B1723&amp;"_2.mp3","AmE")</f>
        <v/>
      </c>
      <c r="I1723" s="18">
        <f>HYPERLINK("http://dict.youdao.com/w/"&amp;B1723,"有道")</f>
        <v/>
      </c>
    </row>
    <row customHeight="1" ht="42.75" r="1724">
      <c r="A1724" t="inlineStr">
        <is>
          <t>practice</t>
        </is>
      </c>
      <c r="B1724" s="1" t="inlineStr">
        <is>
          <t>impart</t>
        </is>
      </c>
      <c r="C1724" s="7">
        <f>"vt. 给予（尤指抽象事物），传授；告知，透露"</f>
        <v/>
      </c>
      <c r="G1724" s="18">
        <f>HYPERLINK("D:\python\英语学习\voices\"&amp;B1724&amp;"_1.mp3","BrE")</f>
        <v/>
      </c>
      <c r="H1724" s="18">
        <f>HYPERLINK("D:\python\英语学习\voices\"&amp;B1724&amp;"_2.mp3","AmE")</f>
        <v/>
      </c>
      <c r="I1724" s="18">
        <f>HYPERLINK("http://dict.youdao.com/w/"&amp;B1724,"有道")</f>
        <v/>
      </c>
    </row>
    <row customHeight="1" ht="28.5" r="1725">
      <c r="A1725" t="inlineStr">
        <is>
          <t>practice</t>
        </is>
      </c>
      <c r="B1725" s="1" t="inlineStr">
        <is>
          <t>imperative</t>
        </is>
      </c>
      <c r="C1725" s="7">
        <f>"adj. 必要的，不可避免的；紧急的；命令的，专横的；势在必行的；[语]祈使的"&amp;CHAR(10)&amp;"n. 必要的事；命令；需要；规则；[语]祈使语气"</f>
        <v/>
      </c>
      <c r="D1725" s="6" t="inlineStr">
        <is>
          <t>emperor</t>
        </is>
      </c>
      <c r="G1725" s="18">
        <f>HYPERLINK("D:\python\英语学习\voices\"&amp;B1725&amp;"_1.mp3","BrE")</f>
        <v/>
      </c>
      <c r="H1725" s="18">
        <f>HYPERLINK("D:\python\英语学习\voices\"&amp;B1725&amp;"_2.mp3","AmE")</f>
        <v/>
      </c>
      <c r="I1725" s="18">
        <f>HYPERLINK("http://dict.youdao.com/w/"&amp;B1725,"有道")</f>
        <v/>
      </c>
    </row>
    <row r="1726">
      <c r="B1726" s="1" t="inlineStr">
        <is>
          <t>sincerity</t>
        </is>
      </c>
      <c r="C1726" s="7">
        <f>"n. 真实，诚挚"</f>
        <v/>
      </c>
      <c r="G1726" s="18">
        <f>HYPERLINK("D:\python\英语学习\voices\"&amp;B1726&amp;"_1.mp3","BrE")</f>
        <v/>
      </c>
      <c r="H1726" s="18">
        <f>HYPERLINK("D:\python\英语学习\voices\"&amp;B1726&amp;"_2.mp3","AmE")</f>
        <v/>
      </c>
      <c r="I1726" s="18">
        <f>HYPERLINK("http://dict.youdao.com/w/"&amp;B1726,"有道")</f>
        <v/>
      </c>
    </row>
    <row customHeight="1" ht="28.5" r="1727">
      <c r="B1727" s="1" t="inlineStr">
        <is>
          <t>singular</t>
        </is>
      </c>
      <c r="C1727" s="7">
        <f>"adj. 单数的；单一的；非凡的；异常的"&amp;CHAR(10)&amp;"n. 单数"</f>
        <v/>
      </c>
      <c r="G1727" s="18">
        <f>HYPERLINK("D:\python\英语学习\voices\"&amp;B1727&amp;"_1.mp3","BrE")</f>
        <v/>
      </c>
      <c r="H1727" s="18">
        <f>HYPERLINK("D:\python\英语学习\voices\"&amp;B1727&amp;"_2.mp3","AmE")</f>
        <v/>
      </c>
      <c r="I1727" s="18">
        <f>HYPERLINK("http://dict.youdao.com/w/"&amp;B1727,"有道")</f>
        <v/>
      </c>
    </row>
    <row r="1728">
      <c r="B1728" s="1" t="inlineStr">
        <is>
          <t>sinister</t>
        </is>
      </c>
      <c r="C1728" s="7">
        <f>"adj. 阴险的；凶兆的；灾难性的；左边的"</f>
        <v/>
      </c>
      <c r="G1728" s="18">
        <f>HYPERLINK("D:\python\英语学习\voices\"&amp;B1728&amp;"_1.mp3","BrE")</f>
        <v/>
      </c>
      <c r="H1728" s="18">
        <f>HYPERLINK("D:\python\英语学习\voices\"&amp;B1728&amp;"_2.mp3","AmE")</f>
        <v/>
      </c>
      <c r="I1728" s="18">
        <f>HYPERLINK("http://dict.youdao.com/w/"&amp;B1728,"有道")</f>
        <v/>
      </c>
    </row>
    <row customHeight="1" ht="57" r="1729">
      <c r="B1729" s="1" t="inlineStr">
        <is>
          <t>sink</t>
        </is>
      </c>
      <c r="C1729" s="7">
        <f>"vi. 下沉；消沉；渗透"&amp;CHAR(10)&amp;"vt. 使下沉；挖掘；使低落"&amp;CHAR(10)&amp;"n. 水槽；洗涤槽；污水坑"&amp;CHAR(10)&amp;"n. (Sink)人名；(英、瑞典)辛克"</f>
        <v/>
      </c>
      <c r="G1729" s="18">
        <f>HYPERLINK("D:\python\英语学习\voices\"&amp;B1729&amp;"_1.mp3","BrE")</f>
        <v/>
      </c>
      <c r="H1729" s="18">
        <f>HYPERLINK("D:\python\英语学习\voices\"&amp;B1729&amp;"_2.mp3","AmE")</f>
        <v/>
      </c>
      <c r="I1729" s="18">
        <f>HYPERLINK("http://dict.youdao.com/w/"&amp;B1729,"有道")</f>
        <v/>
      </c>
    </row>
    <row customHeight="1" ht="57" r="1730">
      <c r="B1730" s="1" t="inlineStr">
        <is>
          <t>siren</t>
        </is>
      </c>
      <c r="C1730" s="7">
        <f>"n. 汽笛；迷人的女人；歌声动人的女歌手"&amp;CHAR(10)&amp;"adj. 迷人的"&amp;CHAR(10)&amp;"vi. 响着警报器行驶"&amp;CHAR(10)&amp;"vt. 引诱"</f>
        <v/>
      </c>
      <c r="G1730" s="18">
        <f>HYPERLINK("D:\python\英语学习\voices\"&amp;B1730&amp;"_1.mp3","BrE")</f>
        <v/>
      </c>
      <c r="H1730" s="18">
        <f>HYPERLINK("D:\python\英语学习\voices\"&amp;B1730&amp;"_2.mp3","AmE")</f>
        <v/>
      </c>
      <c r="I1730" s="18">
        <f>HYPERLINK("http://dict.youdao.com/w/"&amp;B1730,"有道")</f>
        <v/>
      </c>
    </row>
    <row customHeight="1" ht="28.5" r="1731">
      <c r="B1731" s="1" t="inlineStr">
        <is>
          <t>situate</t>
        </is>
      </c>
      <c r="C1731" s="7">
        <f>"vt. 使位于；使处于"&amp;CHAR(10)&amp;"adj. 位于…的"</f>
        <v/>
      </c>
      <c r="E1731" s="6" t="inlineStr">
        <is>
          <t>用in比较多-situate in位于</t>
        </is>
      </c>
      <c r="G1731" s="18">
        <f>HYPERLINK("D:\python\英语学习\voices\"&amp;B1731&amp;"_1.mp3","BrE")</f>
        <v/>
      </c>
      <c r="H1731" s="18">
        <f>HYPERLINK("D:\python\英语学习\voices\"&amp;B1731&amp;"_2.mp3","AmE")</f>
        <v/>
      </c>
      <c r="I1731" s="18">
        <f>HYPERLINK("http://dict.youdao.com/w/"&amp;B1731,"有道")</f>
        <v/>
      </c>
    </row>
    <row customHeight="1" ht="28.5" r="1732">
      <c r="B1732" s="1" t="inlineStr">
        <is>
          <t>skeleton</t>
        </is>
      </c>
      <c r="C1732" s="7">
        <f>"n. 骨架，骨骼；纲要；骨瘦如柴的人"&amp;CHAR(10)&amp;"adj. 骨骼的；骨瘦如柴的；概略的"</f>
        <v/>
      </c>
      <c r="E1732" s="6" t="inlineStr">
        <is>
          <t>skeleton in the cupboard</t>
        </is>
      </c>
      <c r="G1732" s="18">
        <f>HYPERLINK("D:\python\英语学习\voices\"&amp;B1732&amp;"_1.mp3","BrE")</f>
        <v/>
      </c>
      <c r="H1732" s="18">
        <f>HYPERLINK("D:\python\英语学习\voices\"&amp;B1732&amp;"_2.mp3","AmE")</f>
        <v/>
      </c>
      <c r="I1732" s="18">
        <f>HYPERLINK("http://dict.youdao.com/w/"&amp;B1732,"有道")</f>
        <v/>
      </c>
    </row>
    <row customHeight="1" ht="85.5" r="1733">
      <c r="B1733" s="1" t="inlineStr">
        <is>
          <t>slack</t>
        </is>
      </c>
      <c r="C1733" s="7">
        <f>"adj. 松弛的；疏忽的；不流畅的"&amp;CHAR(10)&amp;"vi. 松懈；减弱"&amp;CHAR(10)&amp;"n. 煤末；峡谷"&amp;CHAR(10)&amp;"vt. 放松；使缓慢"&amp;CHAR(10)&amp;"adv. 马虎地；缓慢地"&amp;CHAR(10)&amp;"n. (Slack)人名；(英)斯莱克"</f>
        <v/>
      </c>
      <c r="G1733" s="18">
        <f>HYPERLINK("D:\python\英语学习\voices\"&amp;B1733&amp;"_1.mp3","BrE")</f>
        <v/>
      </c>
      <c r="H1733" s="18">
        <f>HYPERLINK("D:\python\英语学习\voices\"&amp;B1733&amp;"_2.mp3","AmE")</f>
        <v/>
      </c>
      <c r="I1733" s="18">
        <f>HYPERLINK("http://dict.youdao.com/w/"&amp;B1733,"有道")</f>
        <v/>
      </c>
    </row>
    <row customHeight="1" ht="28.5" r="1734">
      <c r="B1734" s="1" t="inlineStr">
        <is>
          <t>slander</t>
        </is>
      </c>
      <c r="C1734" s="7">
        <f>"vt. 诽谤；造谣中伤"&amp;CHAR(10)&amp;"n. 诽谤；中伤"</f>
        <v/>
      </c>
      <c r="G1734" s="18">
        <f>HYPERLINK("D:\python\英语学习\voices\"&amp;B1734&amp;"_1.mp3","BrE")</f>
        <v/>
      </c>
      <c r="H1734" s="18">
        <f>HYPERLINK("D:\python\英语学习\voices\"&amp;B1734&amp;"_2.mp3","AmE")</f>
        <v/>
      </c>
      <c r="I1734" s="18">
        <f>HYPERLINK("http://dict.youdao.com/w/"&amp;B1734,"有道")</f>
        <v/>
      </c>
    </row>
    <row r="1735">
      <c r="B1735" s="1" t="inlineStr">
        <is>
          <t>slanderous</t>
        </is>
      </c>
      <c r="C1735" s="7">
        <f>"adj. 诽谤的；诽谤性的；中伤的"</f>
        <v/>
      </c>
      <c r="G1735" s="18">
        <f>HYPERLINK("D:\python\英语学习\voices\"&amp;B1735&amp;"_1.mp3","BrE")</f>
        <v/>
      </c>
      <c r="H1735" s="18">
        <f>HYPERLINK("D:\python\英语学习\voices\"&amp;B1735&amp;"_2.mp3","AmE")</f>
        <v/>
      </c>
      <c r="I1735" s="18">
        <f>HYPERLINK("http://dict.youdao.com/w/"&amp;B1735,"有道")</f>
        <v/>
      </c>
    </row>
    <row customHeight="1" ht="57" r="1736">
      <c r="B1736" s="1" t="inlineStr">
        <is>
          <t>slang</t>
        </is>
      </c>
      <c r="C1736" s="7">
        <f>"n. 俚语；行话"&amp;CHAR(10)&amp;"adj. 俚语的"&amp;CHAR(10)&amp;"vi. 用粗话骂"&amp;CHAR(10)&amp;"vt. 用俚语说"</f>
        <v/>
      </c>
      <c r="G1736" s="18">
        <f>HYPERLINK("D:\python\英语学习\voices\"&amp;B1736&amp;"_1.mp3","BrE")</f>
        <v/>
      </c>
      <c r="H1736" s="18">
        <f>HYPERLINK("D:\python\英语学习\voices\"&amp;B1736&amp;"_2.mp3","AmE")</f>
        <v/>
      </c>
      <c r="I1736" s="18">
        <f>HYPERLINK("http://dict.youdao.com/w/"&amp;B1736,"有道")</f>
        <v/>
      </c>
    </row>
    <row customHeight="1" ht="57" r="1737">
      <c r="B1737" s="1" t="inlineStr">
        <is>
          <t>slap</t>
        </is>
      </c>
      <c r="C1737" s="7">
        <f>"vt. 拍击；侮辱；掌击；掴…的耳光"&amp;CHAR(10)&amp;"n. 掴；侮辱；掌击；拍打声"&amp;CHAR(10)&amp;"vi. 掴；拍击"&amp;CHAR(10)&amp;"adv. 直接地；猛然地；恰好"</f>
        <v/>
      </c>
      <c r="G1737" s="18">
        <f>HYPERLINK("D:\python\英语学习\voices\"&amp;B1737&amp;"_1.mp3","BrE")</f>
        <v/>
      </c>
      <c r="H1737" s="18">
        <f>HYPERLINK("D:\python\英语学习\voices\"&amp;B1737&amp;"_2.mp3","AmE")</f>
        <v/>
      </c>
      <c r="I1737" s="18">
        <f>HYPERLINK("http://dict.youdao.com/w/"&amp;B1737,"有道")</f>
        <v/>
      </c>
    </row>
    <row customHeight="1" ht="57" r="1738">
      <c r="B1738" s="1" t="inlineStr">
        <is>
          <t>slate</t>
        </is>
      </c>
      <c r="C1738" s="7">
        <f>"n. 板岩；石板；蓝色；石片"&amp;CHAR(10)&amp;"vt. 铺石板；严厉批评某人；计划"&amp;CHAR(10)&amp;"adj. 板岩的；石板色的"&amp;CHAR(10)&amp;"n. (Slate)人名；(英)斯莱特"</f>
        <v/>
      </c>
      <c r="G1738" s="18">
        <f>HYPERLINK("D:\python\英语学习\voices\"&amp;B1738&amp;"_1.mp3","BrE")</f>
        <v/>
      </c>
      <c r="H1738" s="18">
        <f>HYPERLINK("D:\python\英语学习\voices\"&amp;B1738&amp;"_2.mp3","AmE")</f>
        <v/>
      </c>
      <c r="I1738" s="18">
        <f>HYPERLINK("http://dict.youdao.com/w/"&amp;B1738,"有道")</f>
        <v/>
      </c>
    </row>
    <row r="1739">
      <c r="B1739" s="1" t="inlineStr">
        <is>
          <t>slender</t>
        </is>
      </c>
      <c r="C1739" s="7">
        <f>"adj. 细长的；苗条的；微薄的"</f>
        <v/>
      </c>
      <c r="G1739" s="18">
        <f>HYPERLINK("D:\python\英语学习\voices\"&amp;B1739&amp;"_1.mp3","BrE")</f>
        <v/>
      </c>
      <c r="H1739" s="18">
        <f>HYPERLINK("D:\python\英语学习\voices\"&amp;B1739&amp;"_2.mp3","AmE")</f>
        <v/>
      </c>
      <c r="I1739" s="18">
        <f>HYPERLINK("http://dict.youdao.com/w/"&amp;B1739,"有道")</f>
        <v/>
      </c>
    </row>
    <row customHeight="1" ht="99.75" r="1740">
      <c r="B1740" s="1" t="inlineStr">
        <is>
          <t>slick</t>
        </is>
      </c>
      <c r="C1740" s="7">
        <f>"adj. 光滑的；华而不实的；聪明的；熟练的；老套的"&amp;CHAR(10)&amp;"n. [机] 平滑器；[机] 修光工具；通俗杂志"&amp;CHAR(10)&amp;"adv. 灵活地；聪明地"&amp;CHAR(10)&amp;"vt. 使光滑；使漂亮"&amp;CHAR(10)&amp;"vi. 打扮整洁"&amp;CHAR(10)&amp;"n. (Slick)人名；(英)斯利克"</f>
        <v/>
      </c>
      <c r="G1740" s="18">
        <f>HYPERLINK("D:\python\英语学习\voices\"&amp;B1740&amp;"_1.mp3","BrE")</f>
        <v/>
      </c>
      <c r="H1740" s="18">
        <f>HYPERLINK("D:\python\英语学习\voices\"&amp;B1740&amp;"_2.mp3","AmE")</f>
        <v/>
      </c>
      <c r="I1740" s="18">
        <f>HYPERLINK("http://dict.youdao.com/w/"&amp;B1740,"有道")</f>
        <v/>
      </c>
    </row>
    <row customHeight="1" ht="28.5" r="1741">
      <c r="B1741" s="1" t="inlineStr">
        <is>
          <t>sling</t>
        </is>
      </c>
      <c r="C1741" s="7">
        <f>"n. [机] 吊索；投石器；抛掷"&amp;CHAR(10)&amp;"vt. 用投石器投掷；吊起"</f>
        <v/>
      </c>
      <c r="G1741" s="18">
        <f>HYPERLINK("D:\python\英语学习\voices\"&amp;B1741&amp;"_1.mp3","BrE")</f>
        <v/>
      </c>
      <c r="H1741" s="18">
        <f>HYPERLINK("D:\python\英语学习\voices\"&amp;B1741&amp;"_2.mp3","AmE")</f>
        <v/>
      </c>
      <c r="I1741" s="18">
        <f>HYPERLINK("http://dict.youdao.com/w/"&amp;B1741,"有道")</f>
        <v/>
      </c>
    </row>
    <row customHeight="1" ht="28.5" r="1742">
      <c r="B1742" s="1" t="inlineStr">
        <is>
          <t>slipper</t>
        </is>
      </c>
      <c r="C1742" s="7">
        <f>"n. 拖鞋"&amp;CHAR(10)&amp;"vt. 用拖鞋打"</f>
        <v/>
      </c>
      <c r="G1742" s="18">
        <f>HYPERLINK("D:\python\英语学习\voices\"&amp;B1742&amp;"_1.mp3","BrE")</f>
        <v/>
      </c>
      <c r="H1742" s="18">
        <f>HYPERLINK("D:\python\英语学习\voices\"&amp;B1742&amp;"_2.mp3","AmE")</f>
        <v/>
      </c>
      <c r="I1742" s="18">
        <f>HYPERLINK("http://dict.youdao.com/w/"&amp;B1742,"有道")</f>
        <v/>
      </c>
    </row>
    <row customHeight="1" ht="42.75" r="1743">
      <c r="B1743" s="1" t="inlineStr">
        <is>
          <t>slit</t>
        </is>
      </c>
      <c r="C1743" s="7">
        <f>"vt. 撕裂；使有狭缝"&amp;CHAR(10)&amp;"n. 裂缝；投币口"&amp;CHAR(10)&amp;"vi. 纵裂"</f>
        <v/>
      </c>
      <c r="G1743" s="18">
        <f>HYPERLINK("D:\python\英语学习\voices\"&amp;B1743&amp;"_1.mp3","BrE")</f>
        <v/>
      </c>
      <c r="H1743" s="18">
        <f>HYPERLINK("D:\python\英语学习\voices\"&amp;B1743&amp;"_2.mp3","AmE")</f>
        <v/>
      </c>
      <c r="I1743" s="18">
        <f>HYPERLINK("http://dict.youdao.com/w/"&amp;B1743,"有道")</f>
        <v/>
      </c>
    </row>
    <row customHeight="1" ht="28.5" r="1744">
      <c r="B1744" s="1" t="inlineStr">
        <is>
          <t>slum</t>
        </is>
      </c>
      <c r="C1744" s="7">
        <f>"vi. （为猎奇或救济等）去贫民窟"&amp;CHAR(10)&amp;"n. 贫民窟；陋巷；脏乱的地方"</f>
        <v/>
      </c>
      <c r="G1744" s="18">
        <f>HYPERLINK("D:\python\英语学习\voices\"&amp;B1744&amp;"_1.mp3","BrE")</f>
        <v/>
      </c>
      <c r="H1744" s="18">
        <f>HYPERLINK("D:\python\英语学习\voices\"&amp;B1744&amp;"_2.mp3","AmE")</f>
        <v/>
      </c>
      <c r="I1744" s="18">
        <f>HYPERLINK("http://dict.youdao.com/w/"&amp;B1744,"有道")</f>
        <v/>
      </c>
    </row>
    <row customHeight="1" ht="42.75" r="1745">
      <c r="B1745" s="1" t="inlineStr">
        <is>
          <t>slumber</t>
        </is>
      </c>
      <c r="C1745" s="7">
        <f>"n. 睡眠；麻木状态；静止状态"&amp;CHAR(10)&amp;"vi. 睡眠；蛰伏；麻木"&amp;CHAR(10)&amp;"vt. 睡眠；睡着度过"</f>
        <v/>
      </c>
      <c r="G1745" s="18">
        <f>HYPERLINK("D:\python\英语学习\voices\"&amp;B1745&amp;"_1.mp3","BrE")</f>
        <v/>
      </c>
      <c r="H1745" s="18">
        <f>HYPERLINK("D:\python\英语学习\voices\"&amp;B1745&amp;"_2.mp3","AmE")</f>
        <v/>
      </c>
      <c r="I1745" s="18">
        <f>HYPERLINK("http://dict.youdao.com/w/"&amp;B1745,"有道")</f>
        <v/>
      </c>
    </row>
    <row customHeight="1" ht="42.75" r="1746">
      <c r="A1746" s="8" t="n"/>
      <c r="B1746" s="1" t="inlineStr">
        <is>
          <t>smear</t>
        </is>
      </c>
      <c r="C1746" s="7">
        <f>"vt. 诽谤；弄脏；涂上；把…擦模糊"&amp;CHAR(10)&amp;"n. 涂片；诽谤；污点"&amp;CHAR(10)&amp;"vi. 被弄脏"</f>
        <v/>
      </c>
      <c r="G1746" s="18">
        <f>HYPERLINK("D:\python\英语学习\voices\"&amp;B1746&amp;"_1.mp3","BrE")</f>
        <v/>
      </c>
      <c r="H1746" s="18">
        <f>HYPERLINK("D:\python\英语学习\voices\"&amp;B1746&amp;"_2.mp3","AmE")</f>
        <v/>
      </c>
      <c r="I1746" s="18">
        <f>HYPERLINK("http://dict.youdao.com/w/"&amp;B1746,"有道")</f>
        <v/>
      </c>
    </row>
    <row customHeight="1" ht="57" r="1747">
      <c r="B1747" s="1" t="inlineStr">
        <is>
          <t>smelt</t>
        </is>
      </c>
      <c r="C1747" s="7">
        <f>"vt. 熔炼，冶炼；精炼"&amp;CHAR(10)&amp;"n. 香鱼；胡瓜鱼"&amp;CHAR(10)&amp;"vi. 熔炼，精炼"&amp;CHAR(10)&amp;"v. 闻（smell的过去式和过去分词）"</f>
        <v/>
      </c>
      <c r="E1747" s="6" t="inlineStr">
        <is>
          <t>melt</t>
        </is>
      </c>
      <c r="G1747" s="18">
        <f>HYPERLINK("D:\python\英语学习\voices\"&amp;B1747&amp;"_1.mp3","BrE")</f>
        <v/>
      </c>
      <c r="H1747" s="18">
        <f>HYPERLINK("D:\python\英语学习\voices\"&amp;B1747&amp;"_2.mp3","AmE")</f>
        <v/>
      </c>
      <c r="I1747" s="18">
        <f>HYPERLINK("http://dict.youdao.com/w/"&amp;B1747,"有道")</f>
        <v/>
      </c>
    </row>
    <row customHeight="1" ht="57" r="1748">
      <c r="B1748" s="1" t="inlineStr">
        <is>
          <t>snap</t>
        </is>
      </c>
      <c r="C1748" s="7">
        <f>"vt. 突然折断，拉断；猛咬；啪地关上"&amp;CHAR(10)&amp;"vi. 咬；厉声说；咯嗒一声关上"&amp;CHAR(10)&amp;"n. 猛咬；劈啪声；突然折断"&amp;CHAR(10)&amp;"adj. 突然的"</f>
        <v/>
      </c>
      <c r="D1748" s="6" t="inlineStr">
        <is>
          <t>打断小睡s-nap</t>
        </is>
      </c>
      <c r="E1748" s="6" t="inlineStr">
        <is>
          <t>小睡-nap</t>
        </is>
      </c>
      <c r="G1748" s="18">
        <f>HYPERLINK("D:\python\英语学习\voices\"&amp;B1748&amp;"_1.mp3","BrE")</f>
        <v/>
      </c>
      <c r="H1748" s="18">
        <f>HYPERLINK("D:\python\英语学习\voices\"&amp;B1748&amp;"_2.mp3","AmE")</f>
        <v/>
      </c>
      <c r="I1748" s="18">
        <f>HYPERLINK("http://dict.youdao.com/w/"&amp;B1748,"有道")</f>
        <v/>
      </c>
    </row>
    <row customHeight="1" ht="42.75" r="1749">
      <c r="B1749" s="1" t="inlineStr">
        <is>
          <t>sneer</t>
        </is>
      </c>
      <c r="C1749" s="7">
        <f>"vi. 嘲笑，冷笑"&amp;CHAR(10)&amp;"vt. 嘲笑，冷笑"&amp;CHAR(10)&amp;"n. 嘲笑，冷笑"</f>
        <v/>
      </c>
      <c r="E1749" s="6" t="inlineStr">
        <is>
          <t>注意拼写</t>
        </is>
      </c>
      <c r="G1749" s="18">
        <f>HYPERLINK("D:\python\英语学习\voices\"&amp;B1749&amp;"_1.mp3","BrE")</f>
        <v/>
      </c>
      <c r="H1749" s="18">
        <f>HYPERLINK("D:\python\英语学习\voices\"&amp;B1749&amp;"_2.mp3","AmE")</f>
        <v/>
      </c>
      <c r="I1749" s="18">
        <f>HYPERLINK("http://dict.youdao.com/w/"&amp;B1749,"有道")</f>
        <v/>
      </c>
    </row>
    <row r="1750">
      <c r="B1750" s="1" t="inlineStr">
        <is>
          <t>snobbish</t>
        </is>
      </c>
      <c r="C1750" s="7">
        <f>"adj. 势利的"</f>
        <v/>
      </c>
      <c r="G1750" s="18">
        <f>HYPERLINK("D:\python\英语学习\voices\"&amp;B1750&amp;"_1.mp3","BrE")</f>
        <v/>
      </c>
      <c r="H1750" s="18">
        <f>HYPERLINK("D:\python\英语学习\voices\"&amp;B1750&amp;"_2.mp3","AmE")</f>
        <v/>
      </c>
      <c r="I1750" s="18">
        <f>HYPERLINK("http://dict.youdao.com/w/"&amp;B1750,"有道")</f>
        <v/>
      </c>
    </row>
    <row customHeight="1" ht="42.75" r="1751">
      <c r="B1751" s="1" t="inlineStr">
        <is>
          <t>snore</t>
        </is>
      </c>
      <c r="C1751" s="7">
        <f>"n. 鼾声"&amp;CHAR(10)&amp;"vi. 打呼噜；打着鼾声渡过"&amp;CHAR(10)&amp;"vt. 打鼾"</f>
        <v/>
      </c>
      <c r="G1751" s="18">
        <f>HYPERLINK("D:\python\英语学习\voices\"&amp;B1751&amp;"_1.mp3","BrE")</f>
        <v/>
      </c>
      <c r="H1751" s="18">
        <f>HYPERLINK("D:\python\英语学习\voices\"&amp;B1751&amp;"_2.mp3","AmE")</f>
        <v/>
      </c>
      <c r="I1751" s="18">
        <f>HYPERLINK("http://dict.youdao.com/w/"&amp;B1751,"有道")</f>
        <v/>
      </c>
    </row>
    <row customHeight="1" ht="42.75" r="1752">
      <c r="B1752" s="1" t="inlineStr">
        <is>
          <t>snort</t>
        </is>
      </c>
      <c r="C1752" s="7">
        <f>"vi. 轻蔑或愤怒地发出哼声；喷出蒸汽声"&amp;CHAR(10)&amp;"vt. 喷出；发哼声；吸毒品"&amp;CHAR(10)&amp;"n. 喷鼻息；一小杯酒"</f>
        <v/>
      </c>
      <c r="G1752" s="18">
        <f>HYPERLINK("D:\python\英语学习\voices\"&amp;B1752&amp;"_1.mp3","BrE")</f>
        <v/>
      </c>
      <c r="H1752" s="18">
        <f>HYPERLINK("D:\python\英语学习\voices\"&amp;B1752&amp;"_2.mp3","AmE")</f>
        <v/>
      </c>
      <c r="I1752" s="18">
        <f>HYPERLINK("http://dict.youdao.com/w/"&amp;B1752,"有道")</f>
        <v/>
      </c>
    </row>
    <row customHeight="1" ht="42.75" r="1753">
      <c r="B1753" s="1" t="inlineStr">
        <is>
          <t>sober</t>
        </is>
      </c>
      <c r="C1753" s="7">
        <f>"adj. 冷静的，清醒的；未醉的"&amp;CHAR(10)&amp;"vt. 使严肃；使醒酒，使清醒"&amp;CHAR(10)&amp;"n. (Sober)人名；(英)索伯"</f>
        <v/>
      </c>
      <c r="G1753" s="18">
        <f>HYPERLINK("D:\python\英语学习\voices\"&amp;B1753&amp;"_1.mp3","BrE")</f>
        <v/>
      </c>
      <c r="H1753" s="18">
        <f>HYPERLINK("D:\python\英语学习\voices\"&amp;B1753&amp;"_2.mp3","AmE")</f>
        <v/>
      </c>
      <c r="I1753" s="18">
        <f>HYPERLINK("http://dict.youdao.com/w/"&amp;B1753,"有道")</f>
        <v/>
      </c>
    </row>
    <row r="1754">
      <c r="B1754" s="1" t="inlineStr">
        <is>
          <t>solely</t>
        </is>
      </c>
      <c r="C1754" s="7">
        <f>"adv. 单独地，唯一地"</f>
        <v/>
      </c>
      <c r="G1754" s="18">
        <f>HYPERLINK("D:\python\英语学习\voices\"&amp;B1754&amp;"_1.mp3","BrE")</f>
        <v/>
      </c>
      <c r="H1754" s="18">
        <f>HYPERLINK("D:\python\英语学习\voices\"&amp;B1754&amp;"_2.mp3","AmE")</f>
        <v/>
      </c>
      <c r="I1754" s="18">
        <f>HYPERLINK("http://dict.youdao.com/w/"&amp;B1754,"有道")</f>
        <v/>
      </c>
    </row>
    <row customHeight="1" ht="28.5" r="1755">
      <c r="A1755" s="8" t="n"/>
      <c r="B1755" s="1" t="inlineStr">
        <is>
          <t>solicit</t>
        </is>
      </c>
      <c r="C1755" s="7">
        <f>"vt. 征求；招揽；请求；乞求"&amp;CHAR(10)&amp;"vi. 征求；招揽；恳求；请求"</f>
        <v/>
      </c>
      <c r="G1755" s="18">
        <f>HYPERLINK("D:\python\英语学习\voices\"&amp;B1755&amp;"_1.mp3","BrE")</f>
        <v/>
      </c>
      <c r="H1755" s="18">
        <f>HYPERLINK("D:\python\英语学习\voices\"&amp;B1755&amp;"_2.mp3","AmE")</f>
        <v/>
      </c>
      <c r="I1755" s="18">
        <f>HYPERLINK("http://dict.youdao.com/w/"&amp;B1755,"有道")</f>
        <v/>
      </c>
    </row>
    <row r="1756">
      <c r="B1756" s="1" t="inlineStr">
        <is>
          <t>solicitor</t>
        </is>
      </c>
      <c r="C1756" s="7">
        <f>"n. 律师；法务官；募捐者；掮客"</f>
        <v/>
      </c>
      <c r="G1756" s="18">
        <f>HYPERLINK("D:\python\英语学习\voices\"&amp;B1756&amp;"_1.mp3","BrE")</f>
        <v/>
      </c>
      <c r="H1756" s="18">
        <f>HYPERLINK("D:\python\英语学习\voices\"&amp;B1756&amp;"_2.mp3","AmE")</f>
        <v/>
      </c>
      <c r="I1756" s="18">
        <f>HYPERLINK("http://dict.youdao.com/w/"&amp;B1756,"有道")</f>
        <v/>
      </c>
    </row>
    <row r="1757">
      <c r="B1757" s="1" t="inlineStr">
        <is>
          <t>solidarity</t>
        </is>
      </c>
      <c r="C1757" s="7">
        <f>"n. 团结，团结一致"</f>
        <v/>
      </c>
      <c r="G1757" s="18">
        <f>HYPERLINK("D:\python\英语学习\voices\"&amp;B1757&amp;"_1.mp3","BrE")</f>
        <v/>
      </c>
      <c r="H1757" s="18">
        <f>HYPERLINK("D:\python\英语学习\voices\"&amp;B1757&amp;"_2.mp3","AmE")</f>
        <v/>
      </c>
      <c r="I1757" s="18">
        <f>HYPERLINK("http://dict.youdao.com/w/"&amp;B1757,"有道")</f>
        <v/>
      </c>
    </row>
    <row customHeight="1" ht="28.5" r="1758">
      <c r="B1758" s="1" t="inlineStr">
        <is>
          <t>solidify</t>
        </is>
      </c>
      <c r="C1758" s="7">
        <f>"vt. 团结；凝固"&amp;CHAR(10)&amp;"vi. 团结；凝固"</f>
        <v/>
      </c>
      <c r="G1758" s="18">
        <f>HYPERLINK("D:\python\英语学习\voices\"&amp;B1758&amp;"_1.mp3","BrE")</f>
        <v/>
      </c>
      <c r="H1758" s="18">
        <f>HYPERLINK("D:\python\英语学习\voices\"&amp;B1758&amp;"_2.mp3","AmE")</f>
        <v/>
      </c>
      <c r="I1758" s="18">
        <f>HYPERLINK("http://dict.youdao.com/w/"&amp;B1758,"有道")</f>
        <v/>
      </c>
    </row>
    <row customHeight="1" ht="28.5" r="1759">
      <c r="B1759" s="1" t="inlineStr">
        <is>
          <t>solitary</t>
        </is>
      </c>
      <c r="C1759" s="7">
        <f>"adj. 孤独的；独居的"&amp;CHAR(10)&amp;"n. 独居者；隐士"</f>
        <v/>
      </c>
      <c r="E1759" s="6" t="inlineStr">
        <is>
          <t>solitary life</t>
        </is>
      </c>
      <c r="G1759" s="18">
        <f>HYPERLINK("D:\python\英语学习\voices\"&amp;B1759&amp;"_1.mp3","BrE")</f>
        <v/>
      </c>
      <c r="H1759" s="18">
        <f>HYPERLINK("D:\python\英语学习\voices\"&amp;B1759&amp;"_2.mp3","AmE")</f>
        <v/>
      </c>
      <c r="I1759" s="18">
        <f>HYPERLINK("http://dict.youdao.com/w/"&amp;B1759,"有道")</f>
        <v/>
      </c>
    </row>
    <row r="1760">
      <c r="B1760" s="1" t="inlineStr">
        <is>
          <t>soluble</t>
        </is>
      </c>
      <c r="C1760" s="7">
        <f>"adj. [化学] 可溶的，可溶解的；可解决的"</f>
        <v/>
      </c>
      <c r="G1760" s="18">
        <f>HYPERLINK("D:\python\英语学习\voices\"&amp;B1760&amp;"_1.mp3","BrE")</f>
        <v/>
      </c>
      <c r="H1760" s="18">
        <f>HYPERLINK("D:\python\英语学习\voices\"&amp;B1760&amp;"_2.mp3","AmE")</f>
        <v/>
      </c>
      <c r="I1760" s="18">
        <f>HYPERLINK("http://dict.youdao.com/w/"&amp;B1760,"有道")</f>
        <v/>
      </c>
    </row>
    <row customHeight="1" ht="28.5" r="1761">
      <c r="B1761" s="1" t="inlineStr">
        <is>
          <t>solvent</t>
        </is>
      </c>
      <c r="C1761" s="7">
        <f>"adj. 有偿付能力的；有溶解力的"&amp;CHAR(10)&amp;"n. 溶剂；解决方法"</f>
        <v/>
      </c>
      <c r="G1761" s="18">
        <f>HYPERLINK("D:\python\英语学习\voices\"&amp;B1761&amp;"_1.mp3","BrE")</f>
        <v/>
      </c>
      <c r="H1761" s="18">
        <f>HYPERLINK("D:\python\英语学习\voices\"&amp;B1761&amp;"_2.mp3","AmE")</f>
        <v/>
      </c>
      <c r="I1761" s="18">
        <f>HYPERLINK("http://dict.youdao.com/w/"&amp;B1761,"有道")</f>
        <v/>
      </c>
    </row>
    <row r="1762">
      <c r="B1762" s="1" t="inlineStr">
        <is>
          <t>somatic</t>
        </is>
      </c>
      <c r="C1762" s="7">
        <f>"adj. 躯体的；肉体的；体壁的"</f>
        <v/>
      </c>
      <c r="G1762" s="18">
        <f>HYPERLINK("D:\python\英语学习\voices\"&amp;B1762&amp;"_1.mp3","BrE")</f>
        <v/>
      </c>
      <c r="H1762" s="18">
        <f>HYPERLINK("D:\python\英语学习\voices\"&amp;B1762&amp;"_2.mp3","AmE")</f>
        <v/>
      </c>
      <c r="I1762" s="18">
        <f>HYPERLINK("http://dict.youdao.com/w/"&amp;B1762,"有道")</f>
        <v/>
      </c>
    </row>
    <row customHeight="1" ht="28.5" r="1763">
      <c r="B1763" s="1" t="inlineStr">
        <is>
          <t>sooth</t>
        </is>
      </c>
      <c r="C1763" s="7">
        <f>"adj. 真实的"&amp;CHAR(10)&amp;"n. 真实"</f>
        <v/>
      </c>
      <c r="G1763" s="18">
        <f>HYPERLINK("D:\python\英语学习\voices\"&amp;B1763&amp;"_1.mp3","BrE")</f>
        <v/>
      </c>
      <c r="H1763" s="18">
        <f>HYPERLINK("D:\python\英语学习\voices\"&amp;B1763&amp;"_2.mp3","AmE")</f>
        <v/>
      </c>
      <c r="I1763" s="18">
        <f>HYPERLINK("http://dict.youdao.com/w/"&amp;B1763,"有道")</f>
        <v/>
      </c>
    </row>
    <row customHeight="1" ht="28.5" r="1764">
      <c r="B1764" s="1" t="inlineStr">
        <is>
          <t>soothe</t>
        </is>
      </c>
      <c r="C1764" s="7">
        <f>"vt. 安慰；使平静；缓和"&amp;CHAR(10)&amp;"vi. 起抚慰作用"</f>
        <v/>
      </c>
      <c r="G1764" s="18">
        <f>HYPERLINK("D:\python\英语学习\voices\"&amp;B1764&amp;"_1.mp3","BrE")</f>
        <v/>
      </c>
      <c r="H1764" s="18">
        <f>HYPERLINK("D:\python\英语学习\voices\"&amp;B1764&amp;"_2.mp3","AmE")</f>
        <v/>
      </c>
      <c r="I1764" s="18">
        <f>HYPERLINK("http://dict.youdao.com/w/"&amp;B1764,"有道")</f>
        <v/>
      </c>
    </row>
    <row customHeight="1" ht="42.75" r="1765">
      <c r="B1765" s="1" t="inlineStr">
        <is>
          <t>sophisticate</t>
        </is>
      </c>
      <c r="C1765" s="7">
        <f>"vt. 弄复杂；使变得世故；曲解"&amp;CHAR(10)&amp;"n. 久经世故的人；精通者"&amp;CHAR(10)&amp;"vi. 诡辩"</f>
        <v/>
      </c>
      <c r="G1765" s="18">
        <f>HYPERLINK("D:\python\英语学习\voices\"&amp;B1765&amp;"_1.mp3","BrE")</f>
        <v/>
      </c>
      <c r="H1765" s="18">
        <f>HYPERLINK("D:\python\英语学习\voices\"&amp;B1765&amp;"_2.mp3","AmE")</f>
        <v/>
      </c>
      <c r="I1765" s="18">
        <f>HYPERLINK("http://dict.youdao.com/w/"&amp;B1765,"有道")</f>
        <v/>
      </c>
    </row>
    <row customHeight="1" ht="57" r="1766">
      <c r="B1766" s="1" t="inlineStr">
        <is>
          <t>sophisticated</t>
        </is>
      </c>
      <c r="C1766" s="7">
        <f>"adj. 复杂的；精致的；久经世故的；富有经验的"&amp;CHAR(10)&amp;"v. 使变得世故；使迷惑；篡改（sophisticate的过去分词形式）"</f>
        <v/>
      </c>
      <c r="G1766" s="18">
        <f>HYPERLINK("D:\python\英语学习\voices\"&amp;B1766&amp;"_1.mp3","BrE")</f>
        <v/>
      </c>
      <c r="H1766" s="18">
        <f>HYPERLINK("D:\python\英语学习\voices\"&amp;B1766&amp;"_2.mp3","AmE")</f>
        <v/>
      </c>
      <c r="I1766" s="18">
        <f>HYPERLINK("http://dict.youdao.com/w/"&amp;B1766,"有道")</f>
        <v/>
      </c>
    </row>
    <row r="1767">
      <c r="B1767" s="1" t="inlineStr">
        <is>
          <t>sophistication</t>
        </is>
      </c>
      <c r="C1767" s="7">
        <f>"n. 复杂；诡辩；老于世故；有教养"</f>
        <v/>
      </c>
      <c r="G1767" s="18">
        <f>HYPERLINK("D:\python\英语学习\voices\"&amp;B1767&amp;"_1.mp3","BrE")</f>
        <v/>
      </c>
      <c r="H1767" s="18">
        <f>HYPERLINK("D:\python\英语学习\voices\"&amp;B1767&amp;"_2.mp3","AmE")</f>
        <v/>
      </c>
      <c r="I1767" s="18">
        <f>HYPERLINK("http://dict.youdao.com/w/"&amp;B1767,"有道")</f>
        <v/>
      </c>
    </row>
    <row customHeight="1" ht="71.25" r="1768">
      <c r="B1768" s="1" t="inlineStr">
        <is>
          <t>sow</t>
        </is>
      </c>
      <c r="C1768" s="7">
        <f>"vt. 播种；散布；使密布"&amp;CHAR(10)&amp;"vi. 播种"&amp;CHAR(10)&amp;"n. 母猪"&amp;CHAR(10)&amp;"n. (Sow)人名；(几、马里、乍、毛里塔、塞内)索乌"</f>
        <v/>
      </c>
      <c r="G1768" s="18">
        <f>HYPERLINK("D:\python\英语学习\voices\"&amp;B1768&amp;"_1.mp3","BrE")</f>
        <v/>
      </c>
      <c r="H1768" s="18">
        <f>HYPERLINK("D:\python\英语学习\voices\"&amp;B1768&amp;"_2.mp3","AmE")</f>
        <v/>
      </c>
      <c r="I1768" s="18">
        <f>HYPERLINK("http://dict.youdao.com/w/"&amp;B1768,"有道")</f>
        <v/>
      </c>
    </row>
    <row r="1769">
      <c r="B1769" s="1" t="inlineStr">
        <is>
          <t>spa</t>
        </is>
      </c>
      <c r="C1769" s="7">
        <f>"n. 矿泉；温泉浴场；矿泉治疗地"</f>
        <v/>
      </c>
      <c r="G1769" s="18">
        <f>HYPERLINK("D:\python\英语学习\voices\"&amp;B1769&amp;"_1.mp3","BrE")</f>
        <v/>
      </c>
      <c r="H1769" s="18">
        <f>HYPERLINK("D:\python\英语学习\voices\"&amp;B1769&amp;"_2.mp3","AmE")</f>
        <v/>
      </c>
      <c r="I1769" s="18">
        <f>HYPERLINK("http://dict.youdao.com/w/"&amp;B1769,"有道")</f>
        <v/>
      </c>
    </row>
    <row customHeight="1" ht="57" r="1770">
      <c r="B1770" s="1" t="inlineStr">
        <is>
          <t>spade</t>
        </is>
      </c>
      <c r="C1770" s="7">
        <f>"n. 铁锹，铲子"&amp;CHAR(10)&amp;"vt. 铲；把……弄实抹平"&amp;CHAR(10)&amp;"vi. 铲"&amp;CHAR(10)&amp;"n. (Spade)人名；(英)斯佩德；(法)斯帕德"</f>
        <v/>
      </c>
      <c r="G1770" s="18">
        <f>HYPERLINK("D:\python\英语学习\voices\"&amp;B1770&amp;"_1.mp3","BrE")</f>
        <v/>
      </c>
      <c r="H1770" s="18">
        <f>HYPERLINK("D:\python\英语学习\voices\"&amp;B1770&amp;"_2.mp3","AmE")</f>
        <v/>
      </c>
      <c r="I1770" s="18">
        <f>HYPERLINK("http://dict.youdao.com/w/"&amp;B1770,"有道")</f>
        <v/>
      </c>
    </row>
    <row customHeight="1" ht="42.75" r="1771">
      <c r="B1771" s="1" t="inlineStr">
        <is>
          <t>sparkle</t>
        </is>
      </c>
      <c r="C1771" s="7">
        <f>"n. 闪耀；火花；活力"&amp;CHAR(10)&amp;"vt. 使闪耀；使发光"&amp;CHAR(10)&amp;"vi. 闪耀；发泡；活跃"</f>
        <v/>
      </c>
      <c r="G1771" s="18">
        <f>HYPERLINK("D:\python\英语学习\voices\"&amp;B1771&amp;"_1.mp3","BrE")</f>
        <v/>
      </c>
      <c r="H1771" s="18">
        <f>HYPERLINK("D:\python\英语学习\voices\"&amp;B1771&amp;"_2.mp3","AmE")</f>
        <v/>
      </c>
      <c r="I1771" s="18">
        <f>HYPERLINK("http://dict.youdao.com/w/"&amp;B1771,"有道")</f>
        <v/>
      </c>
    </row>
    <row customHeight="1" ht="28.5" r="1772">
      <c r="A1772" s="1" t="inlineStr">
        <is>
          <t>unnecessary</t>
        </is>
      </c>
      <c r="B1772" s="1" t="inlineStr">
        <is>
          <t>spatial</t>
        </is>
      </c>
      <c r="C1772" s="7">
        <f>"adj. 空间的；存在于空间的；受空间条件限制的"</f>
        <v/>
      </c>
      <c r="G1772" s="18">
        <f>HYPERLINK("D:\python\英语学习\voices\"&amp;B1772&amp;"_1.mp3","BrE")</f>
        <v/>
      </c>
      <c r="H1772" s="18">
        <f>HYPERLINK("D:\python\英语学习\voices\"&amp;B1772&amp;"_2.mp3","AmE")</f>
        <v/>
      </c>
      <c r="I1772" s="18">
        <f>HYPERLINK("http://dict.youdao.com/w/"&amp;B1772,"有道")</f>
        <v/>
      </c>
    </row>
    <row customHeight="1" ht="42.75" r="1773">
      <c r="B1773" s="1" t="inlineStr">
        <is>
          <t>spear</t>
        </is>
      </c>
      <c r="C1773" s="7">
        <f>"n. 矛，枪"&amp;CHAR(10)&amp;"vt. 用矛刺"&amp;CHAR(10)&amp;"n. (Spear)人名；(英)斯皮尔"</f>
        <v/>
      </c>
      <c r="G1773" s="18">
        <f>HYPERLINK("D:\python\英语学习\voices\"&amp;B1773&amp;"_1.mp3","BrE")</f>
        <v/>
      </c>
      <c r="H1773" s="18">
        <f>HYPERLINK("D:\python\英语学习\voices\"&amp;B1773&amp;"_2.mp3","AmE")</f>
        <v/>
      </c>
      <c r="I1773" s="18">
        <f>HYPERLINK("http://dict.youdao.com/w/"&amp;B1773,"有道")</f>
        <v/>
      </c>
    </row>
    <row r="1774">
      <c r="B1774" s="1" t="inlineStr">
        <is>
          <t>speciality</t>
        </is>
      </c>
      <c r="C1774" s="7">
        <f>"n. 专业，专长；特性"</f>
        <v/>
      </c>
      <c r="G1774" s="18">
        <f>HYPERLINK("D:\python\英语学习\voices\"&amp;B1774&amp;"_1.mp3","BrE")</f>
        <v/>
      </c>
      <c r="H1774" s="18">
        <f>HYPERLINK("D:\python\英语学习\voices\"&amp;B1774&amp;"_2.mp3","AmE")</f>
        <v/>
      </c>
      <c r="I1774" s="18">
        <f>HYPERLINK("http://dict.youdao.com/w/"&amp;B1774,"有道")</f>
        <v/>
      </c>
    </row>
    <row r="1775">
      <c r="B1775" s="1" t="inlineStr">
        <is>
          <t>specificity</t>
        </is>
      </c>
      <c r="C1775" s="7">
        <f>"n. [免疫] 特异性；特征；专一性"</f>
        <v/>
      </c>
      <c r="G1775" s="18">
        <f>HYPERLINK("D:\python\英语学习\voices\"&amp;B1775&amp;"_1.mp3","BrE")</f>
        <v/>
      </c>
      <c r="H1775" s="18">
        <f>HYPERLINK("D:\python\英语学习\voices\"&amp;B1775&amp;"_2.mp3","AmE")</f>
        <v/>
      </c>
      <c r="I1775" s="18">
        <f>HYPERLINK("http://dict.youdao.com/w/"&amp;B1775,"有道")</f>
        <v/>
      </c>
    </row>
    <row r="1776">
      <c r="B1776" s="1" t="inlineStr">
        <is>
          <t>specimen</t>
        </is>
      </c>
      <c r="C1776" s="7">
        <f>"n. 样品，样本；标本"</f>
        <v/>
      </c>
      <c r="G1776" s="18">
        <f>HYPERLINK("D:\python\英语学习\voices\"&amp;B1776&amp;"_1.mp3","BrE")</f>
        <v/>
      </c>
      <c r="H1776" s="18">
        <f>HYPERLINK("D:\python\英语学习\voices\"&amp;B1776&amp;"_2.mp3","AmE")</f>
        <v/>
      </c>
      <c r="I1776" s="18">
        <f>HYPERLINK("http://dict.youdao.com/w/"&amp;B1776,"有道")</f>
        <v/>
      </c>
    </row>
    <row customHeight="1" ht="28.5" r="1777">
      <c r="B1777" s="1" t="inlineStr">
        <is>
          <t>spectacle</t>
        </is>
      </c>
      <c r="C1777" s="7">
        <f>"n. 景象；场面；奇观；壮观；公开展示；表相，假相 n.（复）眼镜"</f>
        <v/>
      </c>
      <c r="G1777" s="18">
        <f>HYPERLINK("D:\python\英语学习\voices\"&amp;B1777&amp;"_1.mp3","BrE")</f>
        <v/>
      </c>
      <c r="H1777" s="18">
        <f>HYPERLINK("D:\python\英语学习\voices\"&amp;B1777&amp;"_2.mp3","AmE")</f>
        <v/>
      </c>
      <c r="I1777" s="18">
        <f>HYPERLINK("http://dict.youdao.com/w/"&amp;B1777,"有道")</f>
        <v/>
      </c>
    </row>
    <row r="1778">
      <c r="B1778" s="1" t="inlineStr">
        <is>
          <t>spectator</t>
        </is>
      </c>
      <c r="C1778" s="7">
        <f>"n. 观众；旁观者"</f>
        <v/>
      </c>
      <c r="G1778" s="18">
        <f>HYPERLINK("D:\python\英语学习\voices\"&amp;B1778&amp;"_1.mp3","BrE")</f>
        <v/>
      </c>
      <c r="H1778" s="18">
        <f>HYPERLINK("D:\python\英语学习\voices\"&amp;B1778&amp;"_2.mp3","AmE")</f>
        <v/>
      </c>
      <c r="I1778" s="18">
        <f>HYPERLINK("http://dict.youdao.com/w/"&amp;B1778,"有道")</f>
        <v/>
      </c>
    </row>
    <row r="1779">
      <c r="B1779" s="1" t="inlineStr">
        <is>
          <t>spectral</t>
        </is>
      </c>
      <c r="C1779" s="7">
        <f>"adj. [光] 光谱的；幽灵的；鬼怪的"</f>
        <v/>
      </c>
      <c r="G1779" s="18">
        <f>HYPERLINK("D:\python\英语学习\voices\"&amp;B1779&amp;"_1.mp3","BrE")</f>
        <v/>
      </c>
      <c r="H1779" s="18">
        <f>HYPERLINK("D:\python\英语学习\voices\"&amp;B1779&amp;"_2.mp3","AmE")</f>
        <v/>
      </c>
      <c r="I1779" s="18">
        <f>HYPERLINK("http://dict.youdao.com/w/"&amp;B1779,"有道")</f>
        <v/>
      </c>
    </row>
    <row r="1780">
      <c r="B1780" s="1" t="inlineStr">
        <is>
          <t>spectrum</t>
        </is>
      </c>
      <c r="C1780" s="7">
        <f>"n. 光谱；频谱；范围；余象"</f>
        <v/>
      </c>
      <c r="G1780" s="18">
        <f>HYPERLINK("D:\python\英语学习\voices\"&amp;B1780&amp;"_1.mp3","BrE")</f>
        <v/>
      </c>
      <c r="H1780" s="18">
        <f>HYPERLINK("D:\python\英语学习\voices\"&amp;B1780&amp;"_2.mp3","AmE")</f>
        <v/>
      </c>
      <c r="I1780" s="18">
        <f>HYPERLINK("http://dict.youdao.com/w/"&amp;B1780,"有道")</f>
        <v/>
      </c>
    </row>
    <row customHeight="1" ht="28.5" r="1781">
      <c r="A1781" s="1" t="inlineStr">
        <is>
          <t>practice</t>
        </is>
      </c>
      <c r="B1781" s="1" t="inlineStr">
        <is>
          <t>implore</t>
        </is>
      </c>
      <c r="C1781" s="7">
        <f>"vt. 恳求或乞求"&amp;CHAR(10)&amp;"vi. 恳求或乞求"</f>
        <v/>
      </c>
      <c r="E1781" s="6" t="inlineStr">
        <is>
          <t>注意拼写-i开头不是e</t>
        </is>
      </c>
      <c r="G1781" s="18">
        <f>HYPERLINK("D:\python\英语学习\voices\"&amp;B1781&amp;"_1.mp3","BrE")</f>
        <v/>
      </c>
      <c r="H1781" s="18">
        <f>HYPERLINK("D:\python\英语学习\voices\"&amp;B1781&amp;"_2.mp3","AmE")</f>
        <v/>
      </c>
      <c r="I1781" s="18">
        <f>HYPERLINK("http://dict.youdao.com/w/"&amp;B1781,"有道")</f>
        <v/>
      </c>
    </row>
    <row customHeight="1" ht="57" r="1782">
      <c r="B1782" s="1" t="inlineStr">
        <is>
          <t>spindle</t>
        </is>
      </c>
      <c r="C1782" s="7">
        <f>"n. 轴；纺锤，锭子；细长的人或物"&amp;CHAR(10)&amp;"adj. 锭子的，锭子似的；细长的"&amp;CHAR(10)&amp;"vt. 装锭子于"&amp;CHAR(10)&amp;"vi. 长得细长，变细长"</f>
        <v/>
      </c>
      <c r="G1782" s="18">
        <f>HYPERLINK("D:\python\英语学习\voices\"&amp;B1782&amp;"_1.mp3","BrE")</f>
        <v/>
      </c>
      <c r="H1782" s="18">
        <f>HYPERLINK("D:\python\英语学习\voices\"&amp;B1782&amp;"_2.mp3","AmE")</f>
        <v/>
      </c>
      <c r="I1782" s="18">
        <f>HYPERLINK("http://dict.youdao.com/w/"&amp;B1782,"有道")</f>
        <v/>
      </c>
    </row>
    <row customHeight="1" ht="15" r="1783">
      <c r="A1783" s="8" t="n"/>
      <c r="B1783" s="1" t="inlineStr">
        <is>
          <t>splendid</t>
        </is>
      </c>
      <c r="C1783" s="7">
        <f>"adj. 辉煌的；灿烂的；极好的；杰出的"</f>
        <v/>
      </c>
      <c r="G1783" s="18">
        <f>HYPERLINK("D:\python\英语学习\voices\"&amp;B1783&amp;"_1.mp3","BrE")</f>
        <v/>
      </c>
      <c r="H1783" s="18">
        <f>HYPERLINK("D:\python\英语学习\voices\"&amp;B1783&amp;"_2.mp3","AmE")</f>
        <v/>
      </c>
      <c r="I1783" s="18">
        <f>HYPERLINK("http://dict.youdao.com/w/"&amp;B1783,"有道")</f>
        <v/>
      </c>
    </row>
    <row customHeight="1" ht="29.1" r="1784">
      <c r="B1784" s="1" t="inlineStr">
        <is>
          <t>sponsorship</t>
        </is>
      </c>
      <c r="C1784" s="7">
        <f>"n. 赞助；发起；保证人的地位；教父母身份"</f>
        <v/>
      </c>
      <c r="G1784" s="18">
        <f>HYPERLINK("D:\python\英语学习\voices\"&amp;B1784&amp;"_1.mp3","BrE")</f>
        <v/>
      </c>
      <c r="H1784" s="18">
        <f>HYPERLINK("D:\python\英语学习\voices\"&amp;B1784&amp;"_2.mp3","AmE")</f>
        <v/>
      </c>
      <c r="I1784" s="18">
        <f>HYPERLINK("http://dict.youdao.com/w/"&amp;B1784,"有道")</f>
        <v/>
      </c>
    </row>
    <row customHeight="1" ht="42.75" r="1785">
      <c r="B1785" s="1" t="inlineStr">
        <is>
          <t>sprawl</t>
        </is>
      </c>
      <c r="C1785" s="7">
        <f>"vi. 蔓延；伸开手足躺；无计划地扩展"&amp;CHAR(10)&amp;"vt. 懒散地伸开；使蔓生"&amp;CHAR(10)&amp;"n. 蔓生；伸开手足躺卧姿势"</f>
        <v/>
      </c>
      <c r="G1785" s="18">
        <f>HYPERLINK("D:\python\英语学习\voices\"&amp;B1785&amp;"_1.mp3","BrE")</f>
        <v/>
      </c>
      <c r="H1785" s="18">
        <f>HYPERLINK("D:\python\英语学习\voices\"&amp;B1785&amp;"_2.mp3","AmE")</f>
        <v/>
      </c>
      <c r="I1785" s="18">
        <f>HYPERLINK("http://dict.youdao.com/w/"&amp;B1785,"有道")</f>
        <v/>
      </c>
    </row>
    <row customHeight="1" ht="42.75" r="1786">
      <c r="B1786" s="1" t="inlineStr">
        <is>
          <t>sprint</t>
        </is>
      </c>
      <c r="C1786" s="7">
        <f>"vi. 冲刺，全速跑"&amp;CHAR(10)&amp;"n. 冲刺；短跑"&amp;CHAR(10)&amp;"vt. 全速奔跑"</f>
        <v/>
      </c>
      <c r="G1786" s="18">
        <f>HYPERLINK("D:\python\英语学习\voices\"&amp;B1786&amp;"_1.mp3","BrE")</f>
        <v/>
      </c>
      <c r="H1786" s="18">
        <f>HYPERLINK("D:\python\英语学习\voices\"&amp;B1786&amp;"_2.mp3","AmE")</f>
        <v/>
      </c>
      <c r="I1786" s="18">
        <f>HYPERLINK("http://dict.youdao.com/w/"&amp;B1786,"有道")</f>
        <v/>
      </c>
    </row>
    <row customHeight="1" ht="57" r="1787">
      <c r="B1787" s="1" t="inlineStr">
        <is>
          <t>spur</t>
        </is>
      </c>
      <c r="C1787" s="7">
        <f>"n. 鼓舞，刺激；马刺；山坡"&amp;CHAR(10)&amp;"vi. 骑马疾驰；给予刺激"&amp;CHAR(10)&amp;"vt. 激励，鞭策；给…装踢马刺"&amp;CHAR(10)&amp;"n. (Spur)人名；(意)斯普尔；(德)施普尔"</f>
        <v/>
      </c>
      <c r="D1787" t="inlineStr">
        <is>
          <t>马刺-牛仔的鞋子后面的那个刺--激励</t>
        </is>
      </c>
      <c r="E1787" s="6" t="inlineStr">
        <is>
          <t>spur economy, spur a cause on</t>
        </is>
      </c>
      <c r="G1787" s="18">
        <f>HYPERLINK("D:\python\英语学习\voices\"&amp;B1787&amp;"_1.mp3","BrE")</f>
        <v/>
      </c>
      <c r="H1787" s="18">
        <f>HYPERLINK("D:\python\英语学习\voices\"&amp;B1787&amp;"_2.mp3","AmE")</f>
        <v/>
      </c>
      <c r="I1787" s="18">
        <f>HYPERLINK("http://dict.youdao.com/w/"&amp;B1787,"有道")</f>
        <v/>
      </c>
    </row>
    <row customHeight="1" ht="42.75" r="1788">
      <c r="B1788" s="1" t="inlineStr">
        <is>
          <t>sputter</t>
        </is>
      </c>
      <c r="C1788" s="7">
        <f>"vi. 发劈啪声；唾沫飞溅；结结巴巴地讲"&amp;CHAR(10)&amp;"vt. 气急败坏地说；飞溅出；喷出"&amp;CHAR(10)&amp;"n. 劈啪声；喷溅声；急切的言语"</f>
        <v/>
      </c>
      <c r="G1788" s="18">
        <f>HYPERLINK("D:\python\英语学习\voices\"&amp;B1788&amp;"_1.mp3","BrE")</f>
        <v/>
      </c>
      <c r="H1788" s="18">
        <f>HYPERLINK("D:\python\英语学习\voices\"&amp;B1788&amp;"_2.mp3","AmE")</f>
        <v/>
      </c>
      <c r="I1788" s="18">
        <f>HYPERLINK("http://dict.youdao.com/w/"&amp;B1788,"有道")</f>
        <v/>
      </c>
    </row>
    <row customHeight="1" ht="57" r="1789">
      <c r="A1789" s="1" t="inlineStr">
        <is>
          <t>unnecessary</t>
        </is>
      </c>
      <c r="B1789" s="1" t="inlineStr">
        <is>
          <t>squadron</t>
        </is>
      </c>
      <c r="C1789" s="7">
        <f>"n. 空军中队；一群；骑兵中队；分遣队；小舰队"&amp;CHAR(10)&amp;"vt. 把…编成中队"&amp;CHAR(10)&amp;"n. (Squadron)人名；(英)斯夸德伦"</f>
        <v/>
      </c>
      <c r="G1789" s="18">
        <f>HYPERLINK("D:\python\英语学习\voices\"&amp;B1789&amp;"_1.mp3","BrE")</f>
        <v/>
      </c>
      <c r="H1789" s="18">
        <f>HYPERLINK("D:\python\英语学习\voices\"&amp;B1789&amp;"_2.mp3","AmE")</f>
        <v/>
      </c>
      <c r="I1789" s="18">
        <f>HYPERLINK("http://dict.youdao.com/w/"&amp;B1789,"有道")</f>
        <v/>
      </c>
    </row>
    <row customHeight="1" ht="57" r="1790">
      <c r="B1790" s="1" t="inlineStr">
        <is>
          <t>squash</t>
        </is>
      </c>
      <c r="C1790" s="7">
        <f>"vt. 镇压；把…压扁；使沉默"&amp;CHAR(10)&amp;"vi. 受挤压；发出挤压声；挤入"&amp;CHAR(10)&amp;"n. 壁球；挤压；咯吱声；南瓜属植物；（英）果汁饮料"</f>
        <v/>
      </c>
      <c r="E1790" s="6" t="inlineStr">
        <is>
          <t>注意拼写-没有r</t>
        </is>
      </c>
      <c r="G1790" s="18">
        <f>HYPERLINK("D:\python\英语学习\voices\"&amp;B1790&amp;"_1.mp3","BrE")</f>
        <v/>
      </c>
      <c r="H1790" s="18">
        <f>HYPERLINK("D:\python\英语学习\voices\"&amp;B1790&amp;"_2.mp3","AmE")</f>
        <v/>
      </c>
      <c r="I1790" s="18">
        <f>HYPERLINK("http://dict.youdao.com/w/"&amp;B1790,"有道")</f>
        <v/>
      </c>
    </row>
    <row customHeight="1" ht="57" r="1791">
      <c r="B1791" s="1" t="inlineStr">
        <is>
          <t>squat</t>
        </is>
      </c>
      <c r="C1791" s="7">
        <f>"vi. 蹲，蹲下；蹲坐；蹲伏"&amp;CHAR(10)&amp;"vt. 使蹲坐，使蹲下"&amp;CHAR(10)&amp;"n. 蹲坐，蜷伏"&amp;CHAR(10)&amp;"adj. 蹲着的；矮胖的"</f>
        <v/>
      </c>
      <c r="G1791" s="18">
        <f>HYPERLINK("D:\python\英语学习\voices\"&amp;B1791&amp;"_1.mp3","BrE")</f>
        <v/>
      </c>
      <c r="H1791" s="18">
        <f>HYPERLINK("D:\python\英语学习\voices\"&amp;B1791&amp;"_2.mp3","AmE")</f>
        <v/>
      </c>
      <c r="I1791" s="18">
        <f>HYPERLINK("http://dict.youdao.com/w/"&amp;B1791,"有道")</f>
        <v/>
      </c>
    </row>
    <row customHeight="1" ht="28.5" r="1792">
      <c r="B1792" s="1" t="inlineStr">
        <is>
          <t>squirrel</t>
        </is>
      </c>
      <c r="C1792" s="7">
        <f>"n. 松鼠；松鼠毛皮"&amp;CHAR(10)&amp;"vt. 贮藏"</f>
        <v/>
      </c>
      <c r="E1792" s="6" t="inlineStr">
        <is>
          <t>注意拼写,sql数据库</t>
        </is>
      </c>
      <c r="G1792" s="18">
        <f>HYPERLINK("D:\python\英语学习\voices\"&amp;B1792&amp;"_1.mp3","BrE")</f>
        <v/>
      </c>
      <c r="H1792" s="18">
        <f>HYPERLINK("D:\python\英语学习\voices\"&amp;B1792&amp;"_2.mp3","AmE")</f>
        <v/>
      </c>
      <c r="I1792" s="18">
        <f>HYPERLINK("http://dict.youdao.com/w/"&amp;B1792,"有道")</f>
        <v/>
      </c>
    </row>
    <row r="1793">
      <c r="A1793" t="inlineStr">
        <is>
          <t>practice</t>
        </is>
      </c>
      <c r="B1793" s="1" t="inlineStr">
        <is>
          <t>indignant</t>
        </is>
      </c>
      <c r="C1793" s="7">
        <f>"adj. 愤愤不平的；义愤的"</f>
        <v/>
      </c>
      <c r="D1793" s="6" t="inlineStr">
        <is>
          <t>dignity</t>
        </is>
      </c>
      <c r="G1793" s="18">
        <f>HYPERLINK("D:\python\英语学习\voices\"&amp;B1793&amp;"_1.mp3","BrE")</f>
        <v/>
      </c>
      <c r="H1793" s="18">
        <f>HYPERLINK("D:\python\英语学习\voices\"&amp;B1793&amp;"_2.mp3","AmE")</f>
        <v/>
      </c>
      <c r="I1793" s="18">
        <f>HYPERLINK("http://dict.youdao.com/w/"&amp;B1793,"有道")</f>
        <v/>
      </c>
    </row>
    <row customHeight="1" ht="42.75" r="1794">
      <c r="B1794" s="1" t="inlineStr">
        <is>
          <t>stain</t>
        </is>
      </c>
      <c r="C1794" s="7">
        <f>"vt. 玷污；败坏；给…着色"&amp;CHAR(10)&amp;"vi. 污染；被玷污；被染污"&amp;CHAR(10)&amp;"n. 污点；瑕疵；着色剂"</f>
        <v/>
      </c>
      <c r="G1794" s="18">
        <f>HYPERLINK("D:\python\英语学习\voices\"&amp;B1794&amp;"_1.mp3","BrE")</f>
        <v/>
      </c>
      <c r="H1794" s="18">
        <f>HYPERLINK("D:\python\英语学习\voices\"&amp;B1794&amp;"_2.mp3","AmE")</f>
        <v/>
      </c>
      <c r="I1794" s="18">
        <f>HYPERLINK("http://dict.youdao.com/w/"&amp;B1794,"有道")</f>
        <v/>
      </c>
    </row>
    <row r="1795">
      <c r="A1795" s="1" t="inlineStr">
        <is>
          <t>unnecessary</t>
        </is>
      </c>
      <c r="B1795" s="1" t="inlineStr">
        <is>
          <t>staircase</t>
        </is>
      </c>
      <c r="C1795" s="7">
        <f>"n. 楼梯"</f>
        <v/>
      </c>
      <c r="G1795" s="18">
        <f>HYPERLINK("D:\python\英语学习\voices\"&amp;B1795&amp;"_1.mp3","BrE")</f>
        <v/>
      </c>
      <c r="H1795" s="18">
        <f>HYPERLINK("D:\python\英语学习\voices\"&amp;B1795&amp;"_2.mp3","AmE")</f>
        <v/>
      </c>
      <c r="I1795" s="18">
        <f>HYPERLINK("http://dict.youdao.com/w/"&amp;B1795,"有道")</f>
        <v/>
      </c>
    </row>
    <row r="1796">
      <c r="A1796" s="1" t="inlineStr">
        <is>
          <t>unnecessary</t>
        </is>
      </c>
      <c r="B1796" s="1" t="inlineStr">
        <is>
          <t>stairway</t>
        </is>
      </c>
      <c r="C1796" s="7">
        <f>"n. 阶梯，楼梯"</f>
        <v/>
      </c>
      <c r="G1796" s="18">
        <f>HYPERLINK("D:\python\英语学习\voices\"&amp;B1796&amp;"_1.mp3","BrE")</f>
        <v/>
      </c>
      <c r="H1796" s="18">
        <f>HYPERLINK("D:\python\英语学习\voices\"&amp;B1796&amp;"_2.mp3","AmE")</f>
        <v/>
      </c>
      <c r="I1796" s="18">
        <f>HYPERLINK("http://dict.youdao.com/w/"&amp;B1796,"有道")</f>
        <v/>
      </c>
    </row>
    <row r="1797">
      <c r="B1797" s="1" t="inlineStr">
        <is>
          <t>stakeholder</t>
        </is>
      </c>
      <c r="C1797" s="7">
        <f>"n. 利益相关者；赌金保管者"</f>
        <v/>
      </c>
      <c r="G1797" s="18">
        <f>HYPERLINK("D:\python\英语学习\voices\"&amp;B1797&amp;"_1.mp3","BrE")</f>
        <v/>
      </c>
      <c r="H1797" s="18">
        <f>HYPERLINK("D:\python\英语学习\voices\"&amp;B1797&amp;"_2.mp3","AmE")</f>
        <v/>
      </c>
      <c r="I1797" s="18">
        <f>HYPERLINK("http://dict.youdao.com/w/"&amp;B1797,"有道")</f>
        <v/>
      </c>
    </row>
    <row customHeight="1" ht="71.25" r="1798">
      <c r="B1798" s="1" t="inlineStr">
        <is>
          <t>stale</t>
        </is>
      </c>
      <c r="C1798" s="7">
        <f>"adj. 陈腐的；不新鲜的"&amp;CHAR(10)&amp;"vi. 变陈旧；撒尿；变得不新鲜"&amp;CHAR(10)&amp;"vt. 使变旧；变得不新鲜"&amp;CHAR(10)&amp;"n. 尿"&amp;CHAR(10)&amp;"n. (Stale)人名；(塞)斯塔莱"</f>
        <v/>
      </c>
      <c r="F1798" s="14">
        <f>"How weary, stale, flat and unprofitable, Seem to me all the uses of this world!
人世间的一切在我看来是多么可厌、陈腐、乏味和无聊。"</f>
        <v/>
      </c>
      <c r="G1798" s="18">
        <f>HYPERLINK("D:\python\英语学习\voices\"&amp;B1798&amp;"_1.mp3","BrE")</f>
        <v/>
      </c>
      <c r="H1798" s="18">
        <f>HYPERLINK("D:\python\英语学习\voices\"&amp;B1798&amp;"_2.mp3","AmE")</f>
        <v/>
      </c>
      <c r="I1798" s="18">
        <f>HYPERLINK("http://dict.youdao.com/w/"&amp;B1798,"有道")</f>
        <v/>
      </c>
    </row>
    <row customHeight="1" ht="57" r="1799">
      <c r="B1799" s="1" t="inlineStr">
        <is>
          <t>stalk</t>
        </is>
      </c>
      <c r="C1799" s="7">
        <f>"n. （植物的）茎，秆；（支持叶子、果实和花的）梗，柄；追踪；高视阔步"&amp;CHAR(10)&amp;"vt. 追踪，潜近；高视阔步"&amp;CHAR(10)&amp;"vi. 高视阔步地走；潜近，偷偷接近"</f>
        <v/>
      </c>
      <c r="G1799" s="18">
        <f>HYPERLINK("D:\python\英语学习\voices\"&amp;B1799&amp;"_1.mp3","BrE")</f>
        <v/>
      </c>
      <c r="H1799" s="18">
        <f>HYPERLINK("D:\python\英语学习\voices\"&amp;B1799&amp;"_2.mp3","AmE")</f>
        <v/>
      </c>
      <c r="I1799" s="18">
        <f>HYPERLINK("http://dict.youdao.com/w/"&amp;B1799,"有道")</f>
        <v/>
      </c>
    </row>
    <row customHeight="1" ht="57" r="1800">
      <c r="B1800" s="1" t="inlineStr">
        <is>
          <t>stall</t>
        </is>
      </c>
      <c r="C1800" s="7">
        <f>"n. 货摊；畜栏；托辞"&amp;CHAR(10)&amp;"vi. 停止，停转；拖延"&amp;CHAR(10)&amp;"vt. 拖延；使停转；使陷于泥中"&amp;CHAR(10)&amp;"n. (Stall)人名；(瑞典)斯塔尔"</f>
        <v/>
      </c>
      <c r="G1800" s="18">
        <f>HYPERLINK("D:\python\英语学习\voices\"&amp;B1800&amp;"_1.mp3","BrE")</f>
        <v/>
      </c>
      <c r="H1800" s="18">
        <f>HYPERLINK("D:\python\英语学习\voices\"&amp;B1800&amp;"_2.mp3","AmE")</f>
        <v/>
      </c>
      <c r="I1800" s="18">
        <f>HYPERLINK("http://dict.youdao.com/w/"&amp;B1800,"有道")</f>
        <v/>
      </c>
    </row>
    <row customHeight="1" ht="57" r="1801">
      <c r="B1801" s="1" t="inlineStr">
        <is>
          <t>stammer</t>
        </is>
      </c>
      <c r="C1801" s="7">
        <f>"vi. 口吃；结结巴巴地说"&amp;CHAR(10)&amp;"vt. 口吃；结巴着说出"&amp;CHAR(10)&amp;"n. 口吃；结巴"&amp;CHAR(10)&amp;"n. (Stammer)人名；(德)施塔默"</f>
        <v/>
      </c>
      <c r="G1801" s="18">
        <f>HYPERLINK("D:\python\英语学习\voices\"&amp;B1801&amp;"_1.mp3","BrE")</f>
        <v/>
      </c>
      <c r="H1801" s="18">
        <f>HYPERLINK("D:\python\英语学习\voices\"&amp;B1801&amp;"_2.mp3","AmE")</f>
        <v/>
      </c>
      <c r="I1801" s="18">
        <f>HYPERLINK("http://dict.youdao.com/w/"&amp;B1801,"有道")</f>
        <v/>
      </c>
    </row>
    <row customHeight="1" ht="57" r="1802">
      <c r="B1802" s="1" t="inlineStr">
        <is>
          <t>staple</t>
        </is>
      </c>
      <c r="C1802" s="7">
        <f>"n. 主要产品；订书钉；主题；主食"&amp;CHAR(10)&amp;"adj. 主要的，大宗生产的；常用的；纺织纤维的"&amp;CHAR(10)&amp;"vt. 把…分级；钉住"</f>
        <v/>
      </c>
      <c r="G1802" s="18">
        <f>HYPERLINK("D:\python\英语学习\voices\"&amp;B1802&amp;"_1.mp3","BrE")</f>
        <v/>
      </c>
      <c r="H1802" s="18">
        <f>HYPERLINK("D:\python\英语学习\voices\"&amp;B1802&amp;"_2.mp3","AmE")</f>
        <v/>
      </c>
      <c r="I1802" s="18">
        <f>HYPERLINK("http://dict.youdao.com/w/"&amp;B1802,"有道")</f>
        <v/>
      </c>
    </row>
    <row customHeight="1" ht="71.25" r="1803">
      <c r="B1803" s="1" t="inlineStr">
        <is>
          <t>stark</t>
        </is>
      </c>
      <c r="C1803" s="7">
        <f>"adj. 完全的；荒凉的；刻板的；光秃秃的；朴实的"&amp;CHAR(10)&amp;"adv. 完全；明显地；突出地；质朴地"&amp;CHAR(10)&amp;"n. (Stark)人名；(俄、罗)斯塔尔克；(英、芬、法、瑞典)斯塔克；(德)施塔克"</f>
        <v/>
      </c>
      <c r="E1803" s="6" t="inlineStr">
        <is>
          <t>severely simple</t>
        </is>
      </c>
      <c r="G1803" s="18">
        <f>HYPERLINK("D:\python\英语学习\voices\"&amp;B1803&amp;"_1.mp3","BrE")</f>
        <v/>
      </c>
      <c r="H1803" s="18">
        <f>HYPERLINK("D:\python\英语学习\voices\"&amp;B1803&amp;"_2.mp3","AmE")</f>
        <v/>
      </c>
      <c r="I1803" s="18">
        <f>HYPERLINK("http://dict.youdao.com/w/"&amp;B1803,"有道")</f>
        <v/>
      </c>
    </row>
    <row customHeight="1" ht="42.75" r="1804">
      <c r="A1804" s="1" t="inlineStr">
        <is>
          <t>practice</t>
        </is>
      </c>
      <c r="B1804" s="1" t="inlineStr">
        <is>
          <t>insurgency</t>
        </is>
      </c>
      <c r="C1804" s="7">
        <f>"n. 叛乱；暴动；叛乱状态"</f>
        <v/>
      </c>
      <c r="G1804" s="18">
        <f>HYPERLINK("D:\python\英语学习\voices\"&amp;B1804&amp;"_1.mp3","BrE")</f>
        <v/>
      </c>
      <c r="H1804" s="18">
        <f>HYPERLINK("D:\python\英语学习\voices\"&amp;B1804&amp;"_2.mp3","AmE")</f>
        <v/>
      </c>
      <c r="I1804" s="18">
        <f>HYPERLINK("http://dict.youdao.com/w/"&amp;B1804,"有道")</f>
        <v/>
      </c>
    </row>
    <row r="1805">
      <c r="B1805" s="1" t="inlineStr">
        <is>
          <t>statesman</t>
        </is>
      </c>
      <c r="C1805" s="7">
        <f>"n. 政治家；国务活动家"</f>
        <v/>
      </c>
      <c r="G1805" s="18">
        <f>HYPERLINK("D:\python\英语学习\voices\"&amp;B1805&amp;"_1.mp3","BrE")</f>
        <v/>
      </c>
      <c r="H1805" s="18">
        <f>HYPERLINK("D:\python\英语学习\voices\"&amp;B1805&amp;"_2.mp3","AmE")</f>
        <v/>
      </c>
      <c r="I1805" s="18">
        <f>HYPERLINK("http://dict.youdao.com/w/"&amp;B1805,"有道")</f>
        <v/>
      </c>
    </row>
    <row customHeight="1" ht="28.5" r="1806">
      <c r="B1806" s="1" t="inlineStr">
        <is>
          <t>stationary</t>
        </is>
      </c>
      <c r="C1806" s="7">
        <f>"adj. 固定的；静止的；定居的；常备军的"&amp;CHAR(10)&amp;"n. 不动的人；驻军"</f>
        <v/>
      </c>
      <c r="G1806" s="18">
        <f>HYPERLINK("D:\python\英语学习\voices\"&amp;B1806&amp;"_1.mp3","BrE")</f>
        <v/>
      </c>
      <c r="H1806" s="18">
        <f>HYPERLINK("D:\python\英语学习\voices\"&amp;B1806&amp;"_2.mp3","AmE")</f>
        <v/>
      </c>
      <c r="I1806" s="18">
        <f>HYPERLINK("http://dict.youdao.com/w/"&amp;B1806,"有道")</f>
        <v/>
      </c>
    </row>
    <row r="1807">
      <c r="B1807" s="1" t="inlineStr">
        <is>
          <t>stationery</t>
        </is>
      </c>
      <c r="C1807" s="7">
        <f>"n. 文具；信纸"</f>
        <v/>
      </c>
      <c r="G1807" s="18">
        <f>HYPERLINK("D:\python\英语学习\voices\"&amp;B1807&amp;"_1.mp3","BrE")</f>
        <v/>
      </c>
      <c r="H1807" s="18">
        <f>HYPERLINK("D:\python\英语学习\voices\"&amp;B1807&amp;"_2.mp3","AmE")</f>
        <v/>
      </c>
      <c r="I1807" s="18">
        <f>HYPERLINK("http://dict.youdao.com/w/"&amp;B1807,"有道")</f>
        <v/>
      </c>
    </row>
    <row r="1808">
      <c r="A1808" s="1" t="inlineStr">
        <is>
          <t>practice</t>
        </is>
      </c>
      <c r="B1808" s="1" t="inlineStr">
        <is>
          <t>intricate</t>
        </is>
      </c>
      <c r="C1808" s="7">
        <f>"adj. 复杂的；错综的，缠结的"</f>
        <v/>
      </c>
      <c r="G1808" s="18">
        <f>HYPERLINK("D:\python\英语学习\voices\"&amp;B1808&amp;"_1.mp3","BrE")</f>
        <v/>
      </c>
      <c r="H1808" s="18">
        <f>HYPERLINK("D:\python\英语学习\voices\"&amp;B1808&amp;"_2.mp3","AmE")</f>
        <v/>
      </c>
      <c r="I1808" s="18">
        <f>HYPERLINK("http://dict.youdao.com/w/"&amp;B1808,"有道")</f>
        <v/>
      </c>
    </row>
    <row r="1809">
      <c r="B1809" s="1" t="inlineStr">
        <is>
          <t>steadfast</t>
        </is>
      </c>
      <c r="C1809" s="7">
        <f>"adj. 坚定的；不变的"</f>
        <v/>
      </c>
      <c r="G1809" s="18">
        <f>HYPERLINK("D:\python\英语学习\voices\"&amp;B1809&amp;"_1.mp3","BrE")</f>
        <v/>
      </c>
      <c r="H1809" s="18">
        <f>HYPERLINK("D:\python\英语学习\voices\"&amp;B1809&amp;"_2.mp3","AmE")</f>
        <v/>
      </c>
      <c r="I1809" s="18">
        <f>HYPERLINK("http://dict.youdao.com/w/"&amp;B1809,"有道")</f>
        <v/>
      </c>
    </row>
    <row customHeight="1" ht="42.75" r="1810">
      <c r="B1810" s="1" t="inlineStr">
        <is>
          <t>stem</t>
        </is>
      </c>
      <c r="C1810" s="7">
        <f>"n. 干；茎；船首；血统"&amp;CHAR(10)&amp;"vt. 阻止；除去…的茎；给…装柄"&amp;CHAR(10)&amp;"vi. 阻止；起源于某事物；逆行"</f>
        <v/>
      </c>
      <c r="E1810" s="6" t="inlineStr">
        <is>
          <t>long-stem rose 象征爱情</t>
        </is>
      </c>
      <c r="G1810" s="18">
        <f>HYPERLINK("D:\python\英语学习\voices\"&amp;B1810&amp;"_1.mp3","BrE")</f>
        <v/>
      </c>
      <c r="H1810" s="18">
        <f>HYPERLINK("D:\python\英语学习\voices\"&amp;B1810&amp;"_2.mp3","AmE")</f>
        <v/>
      </c>
      <c r="I1810" s="18">
        <f>HYPERLINK("http://dict.youdao.com/w/"&amp;B1810,"有道")</f>
        <v/>
      </c>
    </row>
    <row customHeight="1" ht="57" r="1811">
      <c r="A1811" s="1" t="inlineStr">
        <is>
          <t>practice</t>
        </is>
      </c>
      <c r="B1811" s="1" t="inlineStr">
        <is>
          <t>intrinsic</t>
        </is>
      </c>
      <c r="C1811" s="7">
        <f>"adj. 本质的，固有的"</f>
        <v/>
      </c>
      <c r="E1811" s="6" t="inlineStr">
        <is>
          <t>intrinsic value内在价值</t>
        </is>
      </c>
      <c r="F1811">
        <f>"Diamonds have little intrinsic value and their price depends almost entirely on their scarcity."</f>
        <v/>
      </c>
      <c r="G1811" s="18">
        <f>HYPERLINK("D:\python\英语学习\voices\"&amp;B1811&amp;"_1.mp3","BrE")</f>
        <v/>
      </c>
      <c r="H1811" s="18">
        <f>HYPERLINK("D:\python\英语学习\voices\"&amp;B1811&amp;"_2.mp3","AmE")</f>
        <v/>
      </c>
      <c r="I1811" s="18">
        <f>HYPERLINK("http://dict.youdao.com/w/"&amp;B1811,"有道")</f>
        <v/>
      </c>
    </row>
    <row customHeight="1" ht="57" r="1812">
      <c r="A1812" s="1" t="inlineStr">
        <is>
          <t>practice</t>
        </is>
      </c>
      <c r="B1812" s="1" t="inlineStr">
        <is>
          <t>lineage</t>
        </is>
      </c>
      <c r="C1812" s="7">
        <f>"n. 血统；家系，[遗] 世系"</f>
        <v/>
      </c>
      <c r="G1812" s="18">
        <f>HYPERLINK("D:\python\英语学习\voices\"&amp;B1812&amp;"_1.mp3","BrE")</f>
        <v/>
      </c>
      <c r="H1812" s="18">
        <f>HYPERLINK("D:\python\英语学习\voices\"&amp;B1812&amp;"_2.mp3","AmE")</f>
        <v/>
      </c>
      <c r="I1812" s="18">
        <f>HYPERLINK("http://dict.youdao.com/w/"&amp;B1812,"有道")</f>
        <v/>
      </c>
    </row>
    <row r="1813">
      <c r="B1813" s="1" t="inlineStr">
        <is>
          <t>steroid</t>
        </is>
      </c>
      <c r="C1813" s="7">
        <f>"n. 类固醇；[有化] 甾族化合物"</f>
        <v/>
      </c>
      <c r="G1813" s="18">
        <f>HYPERLINK("D:\python\英语学习\voices\"&amp;B1813&amp;"_1.mp3","BrE")</f>
        <v/>
      </c>
      <c r="H1813" s="18">
        <f>HYPERLINK("D:\python\英语学习\voices\"&amp;B1813&amp;"_2.mp3","AmE")</f>
        <v/>
      </c>
      <c r="I1813" s="18">
        <f>HYPERLINK("http://dict.youdao.com/w/"&amp;B1813,"有道")</f>
        <v/>
      </c>
    </row>
    <row customHeight="1" ht="57" r="1814">
      <c r="B1814" s="1" t="inlineStr">
        <is>
          <t>steward</t>
        </is>
      </c>
      <c r="C1814" s="7">
        <f>"n. 管家；乘务员；膳务员；工会管事"&amp;CHAR(10)&amp;"vi. 当服务员；当管事"&amp;CHAR(10)&amp;"vt. 管理"&amp;CHAR(10)&amp;"n. (Steward)人名；(英)斯图尔德"</f>
        <v/>
      </c>
      <c r="G1814" s="18">
        <f>HYPERLINK("D:\python\英语学习\voices\"&amp;B1814&amp;"_1.mp3","BrE")</f>
        <v/>
      </c>
      <c r="H1814" s="18">
        <f>HYPERLINK("D:\python\英语学习\voices\"&amp;B1814&amp;"_2.mp3","AmE")</f>
        <v/>
      </c>
      <c r="I1814" s="18">
        <f>HYPERLINK("http://dict.youdao.com/w/"&amp;B1814,"有道")</f>
        <v/>
      </c>
    </row>
    <row customHeight="1" ht="71.25" r="1815">
      <c r="B1815" s="1" t="inlineStr">
        <is>
          <t>stiff</t>
        </is>
      </c>
      <c r="C1815" s="7">
        <f>"adj. 呆板的；坚硬的；僵硬的；严厉的；拘谨的；稠的；（价格）高昂的；（酒）烈性的"&amp;CHAR(10)&amp;"adv. 极其；僵硬地；彻底地"&amp;CHAR(10)&amp;"n. 死尸；令人讨厌者；流通票据；劳动者"&amp;CHAR(10)&amp;"vt. 诈骗；失信"</f>
        <v/>
      </c>
      <c r="G1815" s="18">
        <f>HYPERLINK("D:\python\英语学习\voices\"&amp;B1815&amp;"_1.mp3","BrE")</f>
        <v/>
      </c>
      <c r="H1815" s="18">
        <f>HYPERLINK("D:\python\英语学习\voices\"&amp;B1815&amp;"_2.mp3","AmE")</f>
        <v/>
      </c>
      <c r="I1815" s="18">
        <f>HYPERLINK("http://dict.youdao.com/w/"&amp;B1815,"有道")</f>
        <v/>
      </c>
    </row>
    <row customHeight="1" ht="57" r="1816">
      <c r="A1816" s="1" t="inlineStr">
        <is>
          <t>practice</t>
        </is>
      </c>
      <c r="B1816" s="1" t="inlineStr">
        <is>
          <t>loaf</t>
        </is>
      </c>
      <c r="C1816" s="7">
        <f>"n. 条，一条面包；块；游荡"&amp;CHAR(10)&amp;"vt. 游荡；游手好闲；虚度光阴"&amp;CHAR(10)&amp;"vi. 游荡；游手好闲；虚度光阴"</f>
        <v/>
      </c>
      <c r="E1816" s="6" t="inlineStr">
        <is>
          <t>好多意思-注意动词</t>
        </is>
      </c>
      <c r="G1816" s="18">
        <f>HYPERLINK("D:\python\英语学习\voices\"&amp;B1816&amp;"_1.mp3","BrE")</f>
        <v/>
      </c>
      <c r="H1816" s="18">
        <f>HYPERLINK("D:\python\英语学习\voices\"&amp;B1816&amp;"_2.mp3","AmE")</f>
        <v/>
      </c>
      <c r="I1816" s="18">
        <f>HYPERLINK("http://dict.youdao.com/w/"&amp;B1816,"有道")</f>
        <v/>
      </c>
    </row>
    <row r="1817">
      <c r="B1817" s="1" t="inlineStr">
        <is>
          <t>stimulation</t>
        </is>
      </c>
      <c r="C1817" s="7">
        <f>"n. 刺激；激励，鼓舞"</f>
        <v/>
      </c>
      <c r="G1817" s="18">
        <f>HYPERLINK("D:\python\英语学习\voices\"&amp;B1817&amp;"_1.mp3","BrE")</f>
        <v/>
      </c>
      <c r="H1817" s="18">
        <f>HYPERLINK("D:\python\英语学习\voices\"&amp;B1817&amp;"_2.mp3","AmE")</f>
        <v/>
      </c>
      <c r="I1817" s="18">
        <f>HYPERLINK("http://dict.youdao.com/w/"&amp;B1817,"有道")</f>
        <v/>
      </c>
    </row>
    <row customHeight="1" ht="57" r="1818">
      <c r="B1818" s="1" t="inlineStr">
        <is>
          <t>sting</t>
        </is>
      </c>
      <c r="C1818" s="7">
        <f>"n. 刺痛；讽刺，刺激；刺毛"&amp;CHAR(10)&amp;"vt. 刺；驱使；使…苦恼；使…疼痛"&amp;CHAR(10)&amp;"vi. 刺痛；被刺痛；感到剧痛"&amp;CHAR(10)&amp;"n. (Sting)人名；(英)斯廷；(德)施廷"</f>
        <v/>
      </c>
      <c r="G1818" s="18">
        <f>HYPERLINK("D:\python\英语学习\voices\"&amp;B1818&amp;"_1.mp3","BrE")</f>
        <v/>
      </c>
      <c r="H1818" s="18">
        <f>HYPERLINK("D:\python\英语学习\voices\"&amp;B1818&amp;"_2.mp3","AmE")</f>
        <v/>
      </c>
      <c r="I1818" s="18">
        <f>HYPERLINK("http://dict.youdao.com/w/"&amp;B1818,"有道")</f>
        <v/>
      </c>
    </row>
    <row customHeight="1" ht="42.75" r="1819">
      <c r="B1819" s="1" t="inlineStr">
        <is>
          <t>stink</t>
        </is>
      </c>
      <c r="C1819" s="7">
        <f>"n. 臭味；讨厌的人"&amp;CHAR(10)&amp;"vi. 发出臭味；招人讨厌"&amp;CHAR(10)&amp;"vt. 使发出臭气；用臭味驱赶"</f>
        <v/>
      </c>
      <c r="G1819" s="18">
        <f>HYPERLINK("D:\python\英语学习\voices\"&amp;B1819&amp;"_1.mp3","BrE")</f>
        <v/>
      </c>
      <c r="H1819" s="18">
        <f>HYPERLINK("D:\python\英语学习\voices\"&amp;B1819&amp;"_2.mp3","AmE")</f>
        <v/>
      </c>
      <c r="I1819" s="18">
        <f>HYPERLINK("http://dict.youdao.com/w/"&amp;B1819,"有道")</f>
        <v/>
      </c>
    </row>
    <row customHeight="1" ht="42.75" r="1820">
      <c r="A1820" s="1" t="inlineStr">
        <is>
          <t>practice</t>
        </is>
      </c>
      <c r="B1820" s="1" t="inlineStr">
        <is>
          <t>lugubrious</t>
        </is>
      </c>
      <c r="C1820" s="7">
        <f>"adj. 悲哀的，悲惨的"</f>
        <v/>
      </c>
      <c r="E1820" s="6" t="inlineStr">
        <is>
          <t>注意发音</t>
        </is>
      </c>
      <c r="G1820" s="18">
        <f>HYPERLINK("D:\python\英语学习\voices\"&amp;B1820&amp;"_1.mp3","BrE")</f>
        <v/>
      </c>
      <c r="H1820" s="18">
        <f>HYPERLINK("D:\python\英语学习\voices\"&amp;B1820&amp;"_2.mp3","AmE")</f>
        <v/>
      </c>
      <c r="I1820" s="18">
        <f>HYPERLINK("http://dict.youdao.com/w/"&amp;B1820,"有道")</f>
        <v/>
      </c>
    </row>
    <row customHeight="1" ht="42.75" r="1821">
      <c r="B1821" s="1" t="inlineStr">
        <is>
          <t>stitch</t>
        </is>
      </c>
      <c r="C1821" s="7">
        <f>"n. 针脚，线迹；一针"&amp;CHAR(10)&amp;"vt. 缝，缝合"&amp;CHAR(10)&amp;"vi. 缝，缝合"</f>
        <v/>
      </c>
      <c r="G1821" s="18">
        <f>HYPERLINK("D:\python\英语学习\voices\"&amp;B1821&amp;"_1.mp3","BrE")</f>
        <v/>
      </c>
      <c r="H1821" s="18">
        <f>HYPERLINK("D:\python\英语学习\voices\"&amp;B1821&amp;"_2.mp3","AmE")</f>
        <v/>
      </c>
      <c r="I1821" s="18">
        <f>HYPERLINK("http://dict.youdao.com/w/"&amp;B1821,"有道")</f>
        <v/>
      </c>
    </row>
    <row r="1822">
      <c r="B1822" s="1" t="inlineStr">
        <is>
          <t>stochastic</t>
        </is>
      </c>
      <c r="C1822" s="7">
        <f>"adj. [数] 随机的；猜测的"</f>
        <v/>
      </c>
      <c r="G1822" s="18">
        <f>HYPERLINK("D:\python\英语学习\voices\"&amp;B1822&amp;"_1.mp3","BrE")</f>
        <v/>
      </c>
      <c r="H1822" s="18">
        <f>HYPERLINK("D:\python\英语学习\voices\"&amp;B1822&amp;"_2.mp3","AmE")</f>
        <v/>
      </c>
      <c r="I1822" s="18">
        <f>HYPERLINK("http://dict.youdao.com/w/"&amp;B1822,"有道")</f>
        <v/>
      </c>
    </row>
    <row customHeight="1" ht="57" r="1823">
      <c r="A1823" t="inlineStr">
        <is>
          <t>practice</t>
        </is>
      </c>
      <c r="B1823" s="1" t="inlineStr">
        <is>
          <t>manifest</t>
        </is>
      </c>
      <c r="C1823" s="7">
        <f>"vt. 证明，表明；显示"&amp;CHAR(10)&amp;"vi. 显示，出现"&amp;CHAR(10)&amp;"n. 载货单，货单；旅客名单"&amp;CHAR(10)&amp;"adj. 显然的，明显的；明白的"</f>
        <v/>
      </c>
      <c r="E1823" s="16" t="inlineStr">
        <is>
          <t>好多意思</t>
        </is>
      </c>
      <c r="G1823" s="18">
        <f>HYPERLINK("D:\python\英语学习\voices\"&amp;B1823&amp;"_1.mp3","BrE")</f>
        <v/>
      </c>
      <c r="H1823" s="18">
        <f>HYPERLINK("D:\python\英语学习\voices\"&amp;B1823&amp;"_2.mp3","AmE")</f>
        <v/>
      </c>
      <c r="I1823" s="18">
        <f>HYPERLINK("http://dict.youdao.com/w/"&amp;B1823,"有道")</f>
        <v/>
      </c>
    </row>
    <row customHeight="1" ht="42.75" r="1824">
      <c r="B1824" s="1" t="inlineStr">
        <is>
          <t>strait</t>
        </is>
      </c>
      <c r="C1824" s="7">
        <f>"adj. 狭窄的；苦恼的"&amp;CHAR(10)&amp;"n. 海峡；困境"&amp;CHAR(10)&amp;"n. (Strait)人名；(英)斯特雷特"</f>
        <v/>
      </c>
      <c r="E1824" s="6" t="inlineStr">
        <is>
          <t>注意拼写</t>
        </is>
      </c>
      <c r="G1824" s="18">
        <f>HYPERLINK("D:\python\英语学习\voices\"&amp;B1824&amp;"_1.mp3","BrE")</f>
        <v/>
      </c>
      <c r="H1824" s="18">
        <f>HYPERLINK("D:\python\英语学习\voices\"&amp;B1824&amp;"_2.mp3","AmE")</f>
        <v/>
      </c>
      <c r="I1824" s="18">
        <f>HYPERLINK("http://dict.youdao.com/w/"&amp;B1824,"有道")</f>
        <v/>
      </c>
    </row>
    <row customHeight="1" ht="42.75" r="1825">
      <c r="B1825" s="1" t="inlineStr">
        <is>
          <t>strap</t>
        </is>
      </c>
      <c r="C1825" s="7">
        <f>"vt. 用带捆绑；用皮条抽打；约束"&amp;CHAR(10)&amp;"n. 带；皮带；磨刀皮带；鞭打"&amp;CHAR(10)&amp;"vi. 精力旺盛地工作；受束缚"</f>
        <v/>
      </c>
      <c r="G1825" s="18">
        <f>HYPERLINK("D:\python\英语学习\voices\"&amp;B1825&amp;"_1.mp3","BrE")</f>
        <v/>
      </c>
      <c r="H1825" s="18">
        <f>HYPERLINK("D:\python\英语学习\voices\"&amp;B1825&amp;"_2.mp3","AmE")</f>
        <v/>
      </c>
      <c r="I1825" s="18">
        <f>HYPERLINK("http://dict.youdao.com/w/"&amp;B1825,"有道")</f>
        <v/>
      </c>
    </row>
    <row customHeight="1" ht="57" r="1826">
      <c r="B1826" s="1" t="inlineStr">
        <is>
          <t>stray</t>
        </is>
      </c>
      <c r="C1826" s="7">
        <f>"vi. 流浪；迷路；偏离"&amp;CHAR(10)&amp;"adj. 迷路的；离群的；偶遇的"&amp;CHAR(10)&amp;"n. 走失的家畜；流浪者"&amp;CHAR(10)&amp;"n. (Stray)人名；(挪)斯特雷"</f>
        <v/>
      </c>
      <c r="G1826" s="18">
        <f>HYPERLINK("D:\python\英语学习\voices\"&amp;B1826&amp;"_1.mp3","BrE")</f>
        <v/>
      </c>
      <c r="H1826" s="18">
        <f>HYPERLINK("D:\python\英语学习\voices\"&amp;B1826&amp;"_2.mp3","AmE")</f>
        <v/>
      </c>
      <c r="I1826" s="18">
        <f>HYPERLINK("http://dict.youdao.com/w/"&amp;B1826,"有道")</f>
        <v/>
      </c>
    </row>
    <row customHeight="1" ht="57" r="1827">
      <c r="B1827" s="1" t="inlineStr">
        <is>
          <t>streamline</t>
        </is>
      </c>
      <c r="C1827" s="7">
        <f>"vt. 把…做成流线型；使现代化；组织；使合理化；使简单化"&amp;CHAR(10)&amp;"n. 流线；流线型"&amp;CHAR(10)&amp;"adj. 流线型的"</f>
        <v/>
      </c>
      <c r="G1827" s="18">
        <f>HYPERLINK("D:\python\英语学习\voices\"&amp;B1827&amp;"_1.mp3","BrE")</f>
        <v/>
      </c>
      <c r="H1827" s="18">
        <f>HYPERLINK("D:\python\英语学习\voices\"&amp;B1827&amp;"_2.mp3","AmE")</f>
        <v/>
      </c>
      <c r="I1827" s="18">
        <f>HYPERLINK("http://dict.youdao.com/w/"&amp;B1827,"有道")</f>
        <v/>
      </c>
    </row>
    <row customHeight="1" ht="28.5" r="1828">
      <c r="A1828" t="inlineStr">
        <is>
          <t>practice</t>
        </is>
      </c>
      <c r="B1828" s="1" t="inlineStr">
        <is>
          <t>mitigate</t>
        </is>
      </c>
      <c r="C1828" s="7">
        <f>"vt. 使缓和，使减轻"&amp;CHAR(10)&amp;"vi. 减轻，缓和下来"</f>
        <v/>
      </c>
      <c r="E1828" s="16" t="inlineStr">
        <is>
          <t>反义词deteriorate</t>
        </is>
      </c>
      <c r="G1828" s="18">
        <f>HYPERLINK("D:\python\英语学习\voices\"&amp;B1828&amp;"_1.mp3","BrE")</f>
        <v/>
      </c>
      <c r="H1828" s="18">
        <f>HYPERLINK("D:\python\英语学习\voices\"&amp;B1828&amp;"_2.mp3","AmE")</f>
        <v/>
      </c>
      <c r="I1828" s="18">
        <f>HYPERLINK("http://dict.youdao.com/w/"&amp;B1828,"有道")</f>
        <v/>
      </c>
    </row>
    <row customHeight="1" ht="42.75" r="1829">
      <c r="B1829" s="1" t="inlineStr">
        <is>
          <t>stride</t>
        </is>
      </c>
      <c r="C1829" s="7">
        <f>"n. 大步；步幅；进展"&amp;CHAR(10)&amp;"vt. 跨过；大踏步走过；跨坐在…"&amp;CHAR(10)&amp;"vi. 跨；跨过；大步行走"</f>
        <v/>
      </c>
      <c r="G1829" s="18">
        <f>HYPERLINK("D:\python\英语学习\voices\"&amp;B1829&amp;"_1.mp3","BrE")</f>
        <v/>
      </c>
      <c r="H1829" s="18">
        <f>HYPERLINK("D:\python\英语学习\voices\"&amp;B1829&amp;"_2.mp3","AmE")</f>
        <v/>
      </c>
      <c r="I1829" s="18">
        <f>HYPERLINK("http://dict.youdao.com/w/"&amp;B1829,"有道")</f>
        <v/>
      </c>
    </row>
    <row r="1830">
      <c r="B1830" s="1" t="inlineStr">
        <is>
          <t>strife</t>
        </is>
      </c>
      <c r="C1830" s="7">
        <f>"n. 冲突；争吵；不和"</f>
        <v/>
      </c>
      <c r="G1830" s="18">
        <f>HYPERLINK("D:\python\英语学习\voices\"&amp;B1830&amp;"_1.mp3","BrE")</f>
        <v/>
      </c>
      <c r="H1830" s="18">
        <f>HYPERLINK("D:\python\英语学习\voices\"&amp;B1830&amp;"_2.mp3","AmE")</f>
        <v/>
      </c>
      <c r="I1830" s="18">
        <f>HYPERLINK("http://dict.youdao.com/w/"&amp;B1830,"有道")</f>
        <v/>
      </c>
    </row>
    <row customHeight="1" ht="42.75" r="1831">
      <c r="B1831" s="1" t="inlineStr">
        <is>
          <t>striking</t>
        </is>
      </c>
      <c r="C1831" s="7">
        <f>"adj. 显著的，突出的，惊人的；打击的；罢工的"&amp;CHAR(10)&amp;"v. 打（strike的ing形式）"</f>
        <v/>
      </c>
      <c r="G1831" s="18">
        <f>HYPERLINK("D:\python\英语学习\voices\"&amp;B1831&amp;"_1.mp3","BrE")</f>
        <v/>
      </c>
      <c r="H1831" s="18">
        <f>HYPERLINK("D:\python\英语学习\voices\"&amp;B1831&amp;"_2.mp3","AmE")</f>
        <v/>
      </c>
      <c r="I1831" s="18">
        <f>HYPERLINK("http://dict.youdao.com/w/"&amp;B1831,"有道")</f>
        <v/>
      </c>
    </row>
    <row r="1832">
      <c r="B1832" s="1" t="inlineStr">
        <is>
          <t>strive</t>
        </is>
      </c>
      <c r="C1832" s="7">
        <f>"vi. 努力；奋斗；抗争"</f>
        <v/>
      </c>
      <c r="G1832" s="18">
        <f>HYPERLINK("D:\python\英语学习\voices\"&amp;B1832&amp;"_1.mp3","BrE")</f>
        <v/>
      </c>
      <c r="H1832" s="18">
        <f>HYPERLINK("D:\python\英语学习\voices\"&amp;B1832&amp;"_2.mp3","AmE")</f>
        <v/>
      </c>
      <c r="I1832" s="18">
        <f>HYPERLINK("http://dict.youdao.com/w/"&amp;B1832,"有道")</f>
        <v/>
      </c>
    </row>
    <row customHeight="1" ht="42.75" r="1833">
      <c r="B1833" s="1" t="inlineStr">
        <is>
          <t>stroll</t>
        </is>
      </c>
      <c r="C1833" s="7">
        <f>"n. 漫步；闲逛；巡回演出"&amp;CHAR(10)&amp;"vi. 散步；闲逛；巡回演出"&amp;CHAR(10)&amp;"vt. 散步；闲逛"</f>
        <v/>
      </c>
      <c r="G1833" s="18">
        <f>HYPERLINK("D:\python\英语学习\voices\"&amp;B1833&amp;"_1.mp3","BrE")</f>
        <v/>
      </c>
      <c r="H1833" s="18">
        <f>HYPERLINK("D:\python\英语学习\voices\"&amp;B1833&amp;"_2.mp3","AmE")</f>
        <v/>
      </c>
      <c r="I1833" s="18">
        <f>HYPERLINK("http://dict.youdao.com/w/"&amp;B1833,"有道")</f>
        <v/>
      </c>
    </row>
    <row customHeight="1" ht="42.75" r="1834">
      <c r="B1834" s="1" t="inlineStr">
        <is>
          <t>stud</t>
        </is>
      </c>
      <c r="C1834" s="7">
        <f>"n. 种马；大头钉；饰纽；壁骨"&amp;CHAR(10)&amp;"vt. 散布；用许多饰钮等装饰"&amp;CHAR(10)&amp;"adj. 种马的；为配种而饲养的"</f>
        <v/>
      </c>
      <c r="G1834" s="18">
        <f>HYPERLINK("D:\python\英语学习\voices\"&amp;B1834&amp;"_1.mp3","BrE")</f>
        <v/>
      </c>
      <c r="H1834" s="18">
        <f>HYPERLINK("D:\python\英语学习\voices\"&amp;B1834&amp;"_2.mp3","AmE")</f>
        <v/>
      </c>
      <c r="I1834" s="18">
        <f>HYPERLINK("http://dict.youdao.com/w/"&amp;B1834,"有道")</f>
        <v/>
      </c>
    </row>
    <row r="1835">
      <c r="B1835" s="1" t="inlineStr">
        <is>
          <t>stuffy</t>
        </is>
      </c>
      <c r="C1835" s="7">
        <f>"adj. 闷热的；古板的；不通气的"</f>
        <v/>
      </c>
      <c r="G1835" s="18">
        <f>HYPERLINK("D:\python\英语学习\voices\"&amp;B1835&amp;"_1.mp3","BrE")</f>
        <v/>
      </c>
      <c r="H1835" s="18">
        <f>HYPERLINK("D:\python\英语学习\voices\"&amp;B1835&amp;"_2.mp3","AmE")</f>
        <v/>
      </c>
      <c r="I1835" s="18">
        <f>HYPERLINK("http://dict.youdao.com/w/"&amp;B1835,"有道")</f>
        <v/>
      </c>
    </row>
    <row customHeight="1" ht="57" r="1836">
      <c r="B1836" s="1" t="inlineStr">
        <is>
          <t>stunt</t>
        </is>
      </c>
      <c r="C1836" s="7">
        <f>"n. 噱头，手腕；绝技"&amp;CHAR(10)&amp;"vt. 阻碍…的正常生长或发展"&amp;CHAR(10)&amp;"vi. 表演特技；作惊人表演"&amp;CHAR(10)&amp;"n. (Stunt)人名；(英)斯坦特"</f>
        <v/>
      </c>
      <c r="G1836" s="18">
        <f>HYPERLINK("D:\python\英语学习\voices\"&amp;B1836&amp;"_1.mp3","BrE")</f>
        <v/>
      </c>
      <c r="H1836" s="18">
        <f>HYPERLINK("D:\python\英语学习\voices\"&amp;B1836&amp;"_2.mp3","AmE")</f>
        <v/>
      </c>
      <c r="I1836" s="18">
        <f>HYPERLINK("http://dict.youdao.com/w/"&amp;B1836,"有道")</f>
        <v/>
      </c>
    </row>
    <row customHeight="1" ht="42.75" r="1837">
      <c r="B1837" s="1" t="inlineStr">
        <is>
          <t>sturdy</t>
        </is>
      </c>
      <c r="C1837" s="7">
        <f>"adj. 坚定的；强健的；健全的"&amp;CHAR(10)&amp;"n. 羊晕倒病"&amp;CHAR(10)&amp;"n. (Sturdy)人名；(英)斯特迪"</f>
        <v/>
      </c>
      <c r="G1837" s="18">
        <f>HYPERLINK("D:\python\英语学习\voices\"&amp;B1837&amp;"_1.mp3","BrE")</f>
        <v/>
      </c>
      <c r="H1837" s="18">
        <f>HYPERLINK("D:\python\英语学习\voices\"&amp;B1837&amp;"_2.mp3","AmE")</f>
        <v/>
      </c>
      <c r="I1837" s="18">
        <f>HYPERLINK("http://dict.youdao.com/w/"&amp;B1837,"有道")</f>
        <v/>
      </c>
    </row>
    <row customHeight="1" ht="28.5" r="1838">
      <c r="B1838" s="1" t="inlineStr">
        <is>
          <t>subdivide</t>
        </is>
      </c>
      <c r="C1838" s="7">
        <f>"vi. 细分，再分"&amp;CHAR(10)&amp;"vt. 把……再分，把……细分"</f>
        <v/>
      </c>
      <c r="G1838" s="18">
        <f>HYPERLINK("D:\python\英语学习\voices\"&amp;B1838&amp;"_1.mp3","BrE")</f>
        <v/>
      </c>
      <c r="H1838" s="18">
        <f>HYPERLINK("D:\python\英语学习\voices\"&amp;B1838&amp;"_2.mp3","AmE")</f>
        <v/>
      </c>
      <c r="I1838" s="18">
        <f>HYPERLINK("http://dict.youdao.com/w/"&amp;B1838,"有道")</f>
        <v/>
      </c>
    </row>
    <row r="1839">
      <c r="B1839" s="1" t="inlineStr">
        <is>
          <t>subdue</t>
        </is>
      </c>
      <c r="C1839" s="7">
        <f>"vt. 征服；抑制；减轻"</f>
        <v/>
      </c>
      <c r="G1839" s="18">
        <f>HYPERLINK("D:\python\英语学习\voices\"&amp;B1839&amp;"_1.mp3","BrE")</f>
        <v/>
      </c>
      <c r="H1839" s="18">
        <f>HYPERLINK("D:\python\英语学习\voices\"&amp;B1839&amp;"_2.mp3","AmE")</f>
        <v/>
      </c>
      <c r="I1839" s="18">
        <f>HYPERLINK("http://dict.youdao.com/w/"&amp;B1839,"有道")</f>
        <v/>
      </c>
    </row>
    <row customHeight="1" ht="28.5" r="1840">
      <c r="B1840" s="1" t="inlineStr">
        <is>
          <t>subgroup</t>
        </is>
      </c>
      <c r="C1840" s="7">
        <f>"n. 小群；隶属的小组织"&amp;CHAR(10)&amp;"vt. 给…加副标题"</f>
        <v/>
      </c>
      <c r="G1840" s="18">
        <f>HYPERLINK("D:\python\英语学习\voices\"&amp;B1840&amp;"_1.mp3","BrE")</f>
        <v/>
      </c>
      <c r="H1840" s="18">
        <f>HYPERLINK("D:\python\英语学习\voices\"&amp;B1840&amp;"_2.mp3","AmE")</f>
        <v/>
      </c>
      <c r="I1840" s="18">
        <f>HYPERLINK("http://dict.youdao.com/w/"&amp;B1840,"有道")</f>
        <v/>
      </c>
    </row>
    <row customHeight="1" ht="28.5" r="1841">
      <c r="B1841" s="1" t="inlineStr">
        <is>
          <t>submerge</t>
        </is>
      </c>
      <c r="C1841" s="7">
        <f>"vt. 淹没；把…浸入；沉浸"&amp;CHAR(10)&amp;"vi. 淹没；潜入水中；湮没"</f>
        <v/>
      </c>
      <c r="G1841" s="18">
        <f>HYPERLINK("D:\python\英语学习\voices\"&amp;B1841&amp;"_1.mp3","BrE")</f>
        <v/>
      </c>
      <c r="H1841" s="18">
        <f>HYPERLINK("D:\python\英语学习\voices\"&amp;B1841&amp;"_2.mp3","AmE")</f>
        <v/>
      </c>
      <c r="I1841" s="18">
        <f>HYPERLINK("http://dict.youdao.com/w/"&amp;B1841,"有道")</f>
        <v/>
      </c>
    </row>
    <row r="1842">
      <c r="B1842" s="1" t="inlineStr">
        <is>
          <t>submissive</t>
        </is>
      </c>
      <c r="C1842" s="7">
        <f>"adj. 顺从的；服从的；柔顺的"</f>
        <v/>
      </c>
      <c r="G1842" s="18">
        <f>HYPERLINK("D:\python\英语学习\voices\"&amp;B1842&amp;"_1.mp3","BrE")</f>
        <v/>
      </c>
      <c r="H1842" s="18">
        <f>HYPERLINK("D:\python\英语学习\voices\"&amp;B1842&amp;"_2.mp3","AmE")</f>
        <v/>
      </c>
      <c r="I1842" s="18">
        <f>HYPERLINK("http://dict.youdao.com/w/"&amp;B1842,"有道")</f>
        <v/>
      </c>
    </row>
    <row customHeight="1" ht="42.75" r="1843">
      <c r="B1843" s="1" t="inlineStr">
        <is>
          <t>subordinate</t>
        </is>
      </c>
      <c r="C1843" s="7">
        <f>"n. 下属，下级；部属，属下"&amp;CHAR(10)&amp;"adj. 从属的；次要的"&amp;CHAR(10)&amp;"vt. 使……居下位；使……服从"</f>
        <v/>
      </c>
      <c r="G1843" s="18">
        <f>HYPERLINK("D:\python\英语学习\voices\"&amp;B1843&amp;"_1.mp3","BrE")</f>
        <v/>
      </c>
      <c r="H1843" s="18">
        <f>HYPERLINK("D:\python\英语学习\voices\"&amp;B1843&amp;"_2.mp3","AmE")</f>
        <v/>
      </c>
      <c r="I1843" s="18">
        <f>HYPERLINK("http://dict.youdao.com/w/"&amp;B1843,"有道")</f>
        <v/>
      </c>
    </row>
    <row r="1844">
      <c r="B1844" s="1" t="inlineStr">
        <is>
          <t>subscription</t>
        </is>
      </c>
      <c r="C1844" s="7">
        <f>"n. 捐献；订阅；订金；签署"</f>
        <v/>
      </c>
      <c r="G1844" s="18">
        <f>HYPERLINK("D:\python\英语学习\voices\"&amp;B1844&amp;"_1.mp3","BrE")</f>
        <v/>
      </c>
      <c r="H1844" s="18">
        <f>HYPERLINK("D:\python\英语学习\voices\"&amp;B1844&amp;"_2.mp3","AmE")</f>
        <v/>
      </c>
      <c r="I1844" s="18">
        <f>HYPERLINK("http://dict.youdao.com/w/"&amp;B1844,"有道")</f>
        <v/>
      </c>
    </row>
    <row r="1845">
      <c r="B1845" s="1" t="inlineStr">
        <is>
          <t>subset</t>
        </is>
      </c>
      <c r="C1845" s="7">
        <f>"n. [数] 子集；子设备；小团体"</f>
        <v/>
      </c>
      <c r="G1845" s="18">
        <f>HYPERLINK("D:\python\英语学习\voices\"&amp;B1845&amp;"_1.mp3","BrE")</f>
        <v/>
      </c>
      <c r="H1845" s="18">
        <f>HYPERLINK("D:\python\英语学习\voices\"&amp;B1845&amp;"_2.mp3","AmE")</f>
        <v/>
      </c>
      <c r="I1845" s="18">
        <f>HYPERLINK("http://dict.youdao.com/w/"&amp;B1845,"有道")</f>
        <v/>
      </c>
    </row>
    <row customHeight="1" ht="28.5" r="1846">
      <c r="B1846" s="1" t="inlineStr">
        <is>
          <t>subsidiary</t>
        </is>
      </c>
      <c r="C1846" s="7">
        <f>"adj. 附属的；辅助的"&amp;CHAR(10)&amp;"n. 子公司；辅助者"</f>
        <v/>
      </c>
      <c r="G1846" s="18">
        <f>HYPERLINK("D:\python\英语学习\voices\"&amp;B1846&amp;"_1.mp3","BrE")</f>
        <v/>
      </c>
      <c r="H1846" s="18">
        <f>HYPERLINK("D:\python\英语学习\voices\"&amp;B1846&amp;"_2.mp3","AmE")</f>
        <v/>
      </c>
      <c r="I1846" s="18">
        <f>HYPERLINK("http://dict.youdao.com/w/"&amp;B1846,"有道")</f>
        <v/>
      </c>
    </row>
    <row customHeight="1" ht="28.5" r="1847">
      <c r="A1847" s="1" t="inlineStr">
        <is>
          <t>practice</t>
        </is>
      </c>
      <c r="B1847" s="1" t="inlineStr">
        <is>
          <t>momentary</t>
        </is>
      </c>
      <c r="C1847" s="7">
        <f>"adj. 瞬间的；短暂的；随时会发生的"</f>
        <v/>
      </c>
      <c r="G1847" s="18">
        <f>HYPERLINK("D:\python\英语学习\voices\"&amp;B1847&amp;"_1.mp3","BrE")</f>
        <v/>
      </c>
      <c r="H1847" s="18">
        <f>HYPERLINK("D:\python\英语学习\voices\"&amp;B1847&amp;"_2.mp3","AmE")</f>
        <v/>
      </c>
      <c r="I1847" s="18">
        <f>HYPERLINK("http://dict.youdao.com/w/"&amp;B1847,"有道")</f>
        <v/>
      </c>
    </row>
    <row customHeight="1" ht="28.5" r="1848">
      <c r="A1848" s="1" t="inlineStr">
        <is>
          <t>unnecessary</t>
        </is>
      </c>
      <c r="B1848" s="1" t="inlineStr">
        <is>
          <t>substrate</t>
        </is>
      </c>
      <c r="C1848" s="7">
        <f>"n. 基质；基片；底层（等于substratum）；酶作用物"</f>
        <v/>
      </c>
      <c r="G1848" s="18">
        <f>HYPERLINK("D:\python\英语学习\voices\"&amp;B1848&amp;"_1.mp3","BrE")</f>
        <v/>
      </c>
      <c r="H1848" s="18">
        <f>HYPERLINK("D:\python\英语学习\voices\"&amp;B1848&amp;"_2.mp3","AmE")</f>
        <v/>
      </c>
      <c r="I1848" s="18">
        <f>HYPERLINK("http://dict.youdao.com/w/"&amp;B1848,"有道")</f>
        <v/>
      </c>
    </row>
    <row r="1849">
      <c r="B1849" s="1" t="inlineStr">
        <is>
          <t>subtraction</t>
        </is>
      </c>
      <c r="C1849" s="7">
        <f>"n. [数] 减法；减少；差集"</f>
        <v/>
      </c>
      <c r="G1849" s="18">
        <f>HYPERLINK("D:\python\英语学习\voices\"&amp;B1849&amp;"_1.mp3","BrE")</f>
        <v/>
      </c>
      <c r="H1849" s="18">
        <f>HYPERLINK("D:\python\英语学习\voices\"&amp;B1849&amp;"_2.mp3","AmE")</f>
        <v/>
      </c>
      <c r="I1849" s="18">
        <f>HYPERLINK("http://dict.youdao.com/w/"&amp;B1849,"有道")</f>
        <v/>
      </c>
    </row>
    <row r="1850">
      <c r="B1850" s="1" t="inlineStr">
        <is>
          <t>succumb</t>
        </is>
      </c>
      <c r="C1850" s="7">
        <f>"vi. 屈服；死；被压垮"</f>
        <v/>
      </c>
      <c r="G1850" s="18">
        <f>HYPERLINK("D:\python\英语学习\voices\"&amp;B1850&amp;"_1.mp3","BrE")</f>
        <v/>
      </c>
      <c r="H1850" s="18">
        <f>HYPERLINK("D:\python\英语学习\voices\"&amp;B1850&amp;"_2.mp3","AmE")</f>
        <v/>
      </c>
      <c r="I1850" s="18">
        <f>HYPERLINK("http://dict.youdao.com/w/"&amp;B1850,"有道")</f>
        <v/>
      </c>
    </row>
    <row customHeight="1" ht="28.5" r="1851">
      <c r="B1851" s="1" t="inlineStr">
        <is>
          <t>suffice</t>
        </is>
      </c>
      <c r="C1851" s="7">
        <f>"vt. 使满足；足够…用；合格"&amp;CHAR(10)&amp;"vi. 足够；有能力"</f>
        <v/>
      </c>
      <c r="G1851" s="18">
        <f>HYPERLINK("D:\python\英语学习\voices\"&amp;B1851&amp;"_1.mp3","BrE")</f>
        <v/>
      </c>
      <c r="H1851" s="18">
        <f>HYPERLINK("D:\python\英语学习\voices\"&amp;B1851&amp;"_2.mp3","AmE")</f>
        <v/>
      </c>
      <c r="I1851" s="18">
        <f>HYPERLINK("http://dict.youdao.com/w/"&amp;B1851,"有道")</f>
        <v/>
      </c>
    </row>
    <row customHeight="1" ht="28.5" r="1852">
      <c r="A1852" s="1" t="inlineStr">
        <is>
          <t>practice</t>
        </is>
      </c>
      <c r="B1852" s="1" t="inlineStr">
        <is>
          <t>mutable</t>
        </is>
      </c>
      <c r="C1852" s="7">
        <f>"adj. 易变的，不定的；性情不定的"</f>
        <v/>
      </c>
      <c r="G1852" s="18">
        <f>HYPERLINK("D:\python\英语学习\voices\"&amp;B1852&amp;"_1.mp3","BrE")</f>
        <v/>
      </c>
      <c r="H1852" s="18">
        <f>HYPERLINK("D:\python\英语学习\voices\"&amp;B1852&amp;"_2.mp3","AmE")</f>
        <v/>
      </c>
      <c r="I1852" s="18">
        <f>HYPERLINK("http://dict.youdao.com/w/"&amp;B1852,"有道")</f>
        <v/>
      </c>
    </row>
    <row customHeight="1" ht="28.5" r="1853">
      <c r="B1853" s="1" t="inlineStr">
        <is>
          <t>sulfur</t>
        </is>
      </c>
      <c r="C1853" s="7">
        <f>"vt. 用硫磺处理"&amp;CHAR(10)&amp;"n. 硫磺；硫磺色"</f>
        <v/>
      </c>
      <c r="G1853" s="18">
        <f>HYPERLINK("D:\python\英语学习\voices\"&amp;B1853&amp;"_1.mp3","BrE")</f>
        <v/>
      </c>
      <c r="H1853" s="18">
        <f>HYPERLINK("D:\python\英语学习\voices\"&amp;B1853&amp;"_2.mp3","AmE")</f>
        <v/>
      </c>
      <c r="I1853" s="18">
        <f>HYPERLINK("http://dict.youdao.com/w/"&amp;B1853,"有道")</f>
        <v/>
      </c>
    </row>
    <row customHeight="1" ht="28.5" r="1854">
      <c r="B1854" s="1" t="inlineStr">
        <is>
          <t>sullen</t>
        </is>
      </c>
      <c r="C1854" s="7">
        <f>"adj. 愠怒的，不高兴的；（天气）阴沉的；沉闷的"</f>
        <v/>
      </c>
      <c r="D1854" s="16" t="inlineStr">
        <is>
          <t>很表面-&gt;肤浅</t>
        </is>
      </c>
      <c r="G1854" s="18">
        <f>HYPERLINK("D:\python\英语学习\voices\"&amp;B1854&amp;"_1.mp3","BrE")</f>
        <v/>
      </c>
      <c r="H1854" s="18">
        <f>HYPERLINK("D:\python\英语学习\voices\"&amp;B1854&amp;"_2.mp3","AmE")</f>
        <v/>
      </c>
      <c r="I1854" s="18">
        <f>HYPERLINK("http://dict.youdao.com/w/"&amp;B1854,"有道")</f>
        <v/>
      </c>
    </row>
    <row customHeight="1" ht="28.5" r="1855">
      <c r="B1855" s="1" t="inlineStr">
        <is>
          <t>summit</t>
        </is>
      </c>
      <c r="C1855" s="7">
        <f>"n. 顶点；最高级会议；最高阶层"&amp;CHAR(10)&amp;"adj. 最高级的；政府首脑的"</f>
        <v/>
      </c>
      <c r="G1855" s="18">
        <f>HYPERLINK("D:\python\英语学习\voices\"&amp;B1855&amp;"_1.mp3","BrE")</f>
        <v/>
      </c>
      <c r="H1855" s="18">
        <f>HYPERLINK("D:\python\英语学习\voices\"&amp;B1855&amp;"_2.mp3","AmE")</f>
        <v/>
      </c>
      <c r="I1855" s="18">
        <f>HYPERLINK("http://dict.youdao.com/w/"&amp;B1855,"有道")</f>
        <v/>
      </c>
    </row>
    <row customHeight="1" ht="28.5" r="1856">
      <c r="A1856" s="1" t="inlineStr">
        <is>
          <t>practice</t>
        </is>
      </c>
      <c r="B1856" s="1" t="inlineStr">
        <is>
          <t>notwithstanding</t>
        </is>
      </c>
      <c r="C1856" s="7">
        <f>"adv. 尽管，仍然"&amp;CHAR(10)&amp;"prep. 尽管，虽然"&amp;CHAR(10)&amp;"conj. 虽然"</f>
        <v/>
      </c>
      <c r="D1856" s="6" t="inlineStr">
        <is>
          <t>withstand抵挡，反抗
不是对抗-&gt;但是</t>
        </is>
      </c>
      <c r="E1856" s="6" t="inlineStr">
        <is>
          <t>despite or although</t>
        </is>
      </c>
      <c r="F1856" s="7">
        <f>"The weather notwithstanding, the event was a great success. "&amp;CHAR(10)&amp;"We should think out a plan to move the project forward, notwithstanding the differences we have."</f>
        <v/>
      </c>
      <c r="G1856" s="18">
        <f>HYPERLINK("D:\python\英语学习\voices\"&amp;B1856&amp;"_1.mp3","BrE")</f>
        <v/>
      </c>
      <c r="H1856" s="18">
        <f>HYPERLINK("D:\python\英语学习\voices\"&amp;B1856&amp;"_2.mp3","AmE")</f>
        <v/>
      </c>
      <c r="I1856" s="18">
        <f>HYPERLINK("http://dict.youdao.com/w/"&amp;B1856,"有道")</f>
        <v/>
      </c>
    </row>
    <row r="1857">
      <c r="B1857" s="1" t="inlineStr">
        <is>
          <t>superfluous</t>
        </is>
      </c>
      <c r="C1857" s="7">
        <f>"adj. 多余的；不必要的；奢侈的"</f>
        <v/>
      </c>
      <c r="G1857" s="18">
        <f>HYPERLINK("D:\python\英语学习\voices\"&amp;B1857&amp;"_1.mp3","BrE")</f>
        <v/>
      </c>
      <c r="H1857" s="18">
        <f>HYPERLINK("D:\python\英语学习\voices\"&amp;B1857&amp;"_2.mp3","AmE")</f>
        <v/>
      </c>
      <c r="I1857" s="18">
        <f>HYPERLINK("http://dict.youdao.com/w/"&amp;B1857,"有道")</f>
        <v/>
      </c>
    </row>
    <row r="1858">
      <c r="B1858" s="1" t="inlineStr">
        <is>
          <t>superstition</t>
        </is>
      </c>
      <c r="C1858" s="7">
        <f>"n. 迷信"</f>
        <v/>
      </c>
      <c r="G1858" s="18">
        <f>HYPERLINK("D:\python\英语学习\voices\"&amp;B1858&amp;"_1.mp3","BrE")</f>
        <v/>
      </c>
      <c r="H1858" s="18">
        <f>HYPERLINK("D:\python\英语学习\voices\"&amp;B1858&amp;"_2.mp3","AmE")</f>
        <v/>
      </c>
      <c r="I1858" s="18">
        <f>HYPERLINK("http://dict.youdao.com/w/"&amp;B1858,"有道")</f>
        <v/>
      </c>
    </row>
    <row customHeight="1" ht="28.5" r="1859">
      <c r="B1859" s="1" t="inlineStr">
        <is>
          <t>supervise</t>
        </is>
      </c>
      <c r="C1859" s="7">
        <f>"vt. 监督，管理；指导"&amp;CHAR(10)&amp;"vi. 监督，管理；指导"</f>
        <v/>
      </c>
      <c r="G1859" s="18">
        <f>HYPERLINK("D:\python\英语学习\voices\"&amp;B1859&amp;"_1.mp3","BrE")</f>
        <v/>
      </c>
      <c r="H1859" s="18">
        <f>HYPERLINK("D:\python\英语学习\voices\"&amp;B1859&amp;"_2.mp3","AmE")</f>
        <v/>
      </c>
      <c r="I1859" s="18">
        <f>HYPERLINK("http://dict.youdao.com/w/"&amp;B1859,"有道")</f>
        <v/>
      </c>
    </row>
    <row customHeight="1" ht="28.5" r="1860">
      <c r="B1860" s="1" t="inlineStr">
        <is>
          <t>supplementary</t>
        </is>
      </c>
      <c r="C1860" s="7">
        <f>"adj. 补充的；追加的"&amp;CHAR(10)&amp;"n. 补充者；增补物"</f>
        <v/>
      </c>
      <c r="G1860" s="18">
        <f>HYPERLINK("D:\python\英语学习\voices\"&amp;B1860&amp;"_1.mp3","BrE")</f>
        <v/>
      </c>
      <c r="H1860" s="18">
        <f>HYPERLINK("D:\python\英语学习\voices\"&amp;B1860&amp;"_2.mp3","AmE")</f>
        <v/>
      </c>
      <c r="I1860" s="18">
        <f>HYPERLINK("http://dict.youdao.com/w/"&amp;B1860,"有道")</f>
        <v/>
      </c>
    </row>
    <row r="1861">
      <c r="B1861" s="1" t="inlineStr">
        <is>
          <t>suppression</t>
        </is>
      </c>
      <c r="C1861" s="7">
        <f>"n. 抑制；镇压；[植] 压抑"</f>
        <v/>
      </c>
      <c r="G1861" s="18">
        <f>HYPERLINK("D:\python\英语学习\voices\"&amp;B1861&amp;"_1.mp3","BrE")</f>
        <v/>
      </c>
      <c r="H1861" s="18">
        <f>HYPERLINK("D:\python\英语学习\voices\"&amp;B1861&amp;"_2.mp3","AmE")</f>
        <v/>
      </c>
      <c r="I1861" s="18">
        <f>HYPERLINK("http://dict.youdao.com/w/"&amp;B1861,"有道")</f>
        <v/>
      </c>
    </row>
    <row customHeight="1" ht="28.5" r="1862">
      <c r="B1862" s="1" t="inlineStr">
        <is>
          <t>surname</t>
        </is>
      </c>
      <c r="C1862" s="7">
        <f>"n. 姓，姓氏；绰号，别名"&amp;CHAR(10)&amp;"vt. 给…起别名；给…姓氏"</f>
        <v/>
      </c>
      <c r="G1862" s="18">
        <f>HYPERLINK("D:\python\英语学习\voices\"&amp;B1862&amp;"_1.mp3","BrE")</f>
        <v/>
      </c>
      <c r="H1862" s="18">
        <f>HYPERLINK("D:\python\英语学习\voices\"&amp;B1862&amp;"_2.mp3","AmE")</f>
        <v/>
      </c>
      <c r="I1862" s="18">
        <f>HYPERLINK("http://dict.youdao.com/w/"&amp;B1862,"有道")</f>
        <v/>
      </c>
    </row>
    <row customHeight="1" ht="28.5" r="1863">
      <c r="B1863" s="1" t="inlineStr">
        <is>
          <t>surplus</t>
        </is>
      </c>
      <c r="C1863" s="7">
        <f>"n. 剩余；[贸易] 顺差；盈余；过剩"&amp;CHAR(10)&amp;"adj. 剩余的；过剩的"</f>
        <v/>
      </c>
      <c r="G1863" s="18">
        <f>HYPERLINK("D:\python\英语学习\voices\"&amp;B1863&amp;"_1.mp3","BrE")</f>
        <v/>
      </c>
      <c r="H1863" s="18">
        <f>HYPERLINK("D:\python\英语学习\voices\"&amp;B1863&amp;"_2.mp3","AmE")</f>
        <v/>
      </c>
      <c r="I1863" s="18">
        <f>HYPERLINK("http://dict.youdao.com/w/"&amp;B1863,"有道")</f>
        <v/>
      </c>
    </row>
    <row customHeight="1" ht="28.5" r="1864">
      <c r="B1864" s="1" t="inlineStr">
        <is>
          <t>suspicion</t>
        </is>
      </c>
      <c r="C1864" s="7">
        <f>"n. 怀疑；嫌疑；疑心；一点儿"&amp;CHAR(10)&amp;"vt. 怀疑"</f>
        <v/>
      </c>
      <c r="E1864" s="6" t="inlineStr">
        <is>
          <t>注意拼写-cion</t>
        </is>
      </c>
      <c r="G1864" s="18">
        <f>HYPERLINK("D:\python\英语学习\voices\"&amp;B1864&amp;"_1.mp3","BrE")</f>
        <v/>
      </c>
      <c r="H1864" s="18">
        <f>HYPERLINK("D:\python\英语学习\voices\"&amp;B1864&amp;"_2.mp3","AmE")</f>
        <v/>
      </c>
      <c r="I1864" s="18">
        <f>HYPERLINK("http://dict.youdao.com/w/"&amp;B1864,"有道")</f>
        <v/>
      </c>
    </row>
    <row r="1865">
      <c r="B1865" s="1" t="inlineStr">
        <is>
          <t>suspicious</t>
        </is>
      </c>
      <c r="C1865" s="7">
        <f>"adj. 可疑的；怀疑的；多疑的"</f>
        <v/>
      </c>
      <c r="G1865" s="18">
        <f>HYPERLINK("D:\python\英语学习\voices\"&amp;B1865&amp;"_1.mp3","BrE")</f>
        <v/>
      </c>
      <c r="H1865" s="18">
        <f>HYPERLINK("D:\python\英语学习\voices\"&amp;B1865&amp;"_2.mp3","AmE")</f>
        <v/>
      </c>
      <c r="I1865" s="18">
        <f>HYPERLINK("http://dict.youdao.com/w/"&amp;B1865,"有道")</f>
        <v/>
      </c>
    </row>
    <row customHeight="1" ht="28.5" r="1866">
      <c r="A1866" s="1" t="inlineStr">
        <is>
          <t>practice</t>
        </is>
      </c>
      <c r="B1866" s="1" t="inlineStr">
        <is>
          <t>obscure</t>
        </is>
      </c>
      <c r="C1866" s="7">
        <f>"adj. 昏暗的，朦胧的；晦涩的，不清楚的；隐蔽的；不著名的，无名的"&amp;CHAR(10)&amp;"vt. 使…模糊不清，掩盖；隐藏；使难理解"&amp;CHAR(10)&amp;"n. 某种模糊的或不清楚的东西"</f>
        <v/>
      </c>
      <c r="F1866" s="14">
        <f>"The contracts are written in obscure language.那些合同是用复杂难懂的语言写的。"</f>
        <v/>
      </c>
      <c r="G1866" s="18">
        <f>HYPERLINK("D:\python\英语学习\voices\"&amp;B1866&amp;"_1.mp3","BrE")</f>
        <v/>
      </c>
      <c r="H1866" s="18">
        <f>HYPERLINK("D:\python\英语学习\voices\"&amp;B1866&amp;"_2.mp3","AmE")</f>
        <v/>
      </c>
      <c r="I1866" s="18">
        <f>HYPERLINK("http://dict.youdao.com/w/"&amp;B1866,"有道")</f>
        <v/>
      </c>
    </row>
    <row customHeight="1" ht="85.5" r="1867">
      <c r="B1867" s="1" t="inlineStr">
        <is>
          <t>swamp</t>
        </is>
      </c>
      <c r="C1867" s="7">
        <f>"n. 沼泽；湿地"&amp;CHAR(10)&amp;"vt. 使陷于沼泽；使沉没；使陷入困境"&amp;CHAR(10)&amp;"vi. 下沉；陷入沼泽；陷入困境；不知所措（过去式swamped，过去分词swamped，现在分词swamping，第三人称单数swamps，名词swampiness，形容词swampy）"</f>
        <v/>
      </c>
      <c r="G1867" s="18">
        <f>HYPERLINK("D:\python\英语学习\voices\"&amp;B1867&amp;"_1.mp3","BrE")</f>
        <v/>
      </c>
      <c r="H1867" s="18">
        <f>HYPERLINK("D:\python\英语学习\voices\"&amp;B1867&amp;"_2.mp3","AmE")</f>
        <v/>
      </c>
      <c r="I1867" s="18">
        <f>HYPERLINK("http://dict.youdao.com/w/"&amp;B1867,"有道")</f>
        <v/>
      </c>
    </row>
    <row customHeight="1" ht="42.75" r="1868">
      <c r="B1868" s="1" t="inlineStr">
        <is>
          <t>swan</t>
        </is>
      </c>
      <c r="C1868" s="7">
        <f>"n. 天鹅；天鹅星座"&amp;CHAR(10)&amp;"vi. 游荡，闲荡"&amp;CHAR(10)&amp;"n. (Swan)人名；(英、芬、德)斯旺"</f>
        <v/>
      </c>
      <c r="G1868" s="18">
        <f>HYPERLINK("D:\python\英语学习\voices\"&amp;B1868&amp;"_1.mp3","BrE")</f>
        <v/>
      </c>
      <c r="H1868" s="18">
        <f>HYPERLINK("D:\python\英语学习\voices\"&amp;B1868&amp;"_2.mp3","AmE")</f>
        <v/>
      </c>
      <c r="I1868" s="18">
        <f>HYPERLINK("http://dict.youdao.com/w/"&amp;B1868,"有道")</f>
        <v/>
      </c>
    </row>
    <row customHeight="1" ht="42.75" r="1869">
      <c r="B1869" s="1" t="inlineStr">
        <is>
          <t>swarm</t>
        </is>
      </c>
      <c r="C1869" s="7">
        <f>"vi. 挤满；成群浮游；云集"&amp;CHAR(10)&amp;"n. 蜂群；一大群"&amp;CHAR(10)&amp;"vt. 挤满；爬"</f>
        <v/>
      </c>
      <c r="G1869" s="18">
        <f>HYPERLINK("D:\python\英语学习\voices\"&amp;B1869&amp;"_1.mp3","BrE")</f>
        <v/>
      </c>
      <c r="H1869" s="18">
        <f>HYPERLINK("D:\python\英语学习\voices\"&amp;B1869&amp;"_2.mp3","AmE")</f>
        <v/>
      </c>
      <c r="I1869" s="18">
        <f>HYPERLINK("http://dict.youdao.com/w/"&amp;B1869,"有道")</f>
        <v/>
      </c>
    </row>
    <row customHeight="1" ht="28.5" r="1870">
      <c r="B1870" s="1" t="inlineStr">
        <is>
          <t>sweeten</t>
        </is>
      </c>
      <c r="C1870" s="7">
        <f>"vt. 减轻；使变甜；使温和；使悦耳"&amp;CHAR(10)&amp;"vi. 变甜"</f>
        <v/>
      </c>
      <c r="G1870" s="18">
        <f>HYPERLINK("D:\python\英语学习\voices\"&amp;B1870&amp;"_1.mp3","BrE")</f>
        <v/>
      </c>
      <c r="H1870" s="18">
        <f>HYPERLINK("D:\python\英语学习\voices\"&amp;B1870&amp;"_2.mp3","AmE")</f>
        <v/>
      </c>
      <c r="I1870" s="18">
        <f>HYPERLINK("http://dict.youdao.com/w/"&amp;B1870,"有道")</f>
        <v/>
      </c>
    </row>
    <row r="1871">
      <c r="B1871" s="1" t="inlineStr">
        <is>
          <t>sweetness</t>
        </is>
      </c>
      <c r="C1871" s="7">
        <f>"n. 美妙；芳香；可爱"</f>
        <v/>
      </c>
      <c r="E1871" s="6" t="inlineStr">
        <is>
          <t>不只是甜度</t>
        </is>
      </c>
      <c r="G1871" s="18">
        <f>HYPERLINK("D:\python\英语学习\voices\"&amp;B1871&amp;"_1.mp3","BrE")</f>
        <v/>
      </c>
      <c r="H1871" s="18">
        <f>HYPERLINK("D:\python\英语学习\voices\"&amp;B1871&amp;"_2.mp3","AmE")</f>
        <v/>
      </c>
      <c r="I1871" s="18">
        <f>HYPERLINK("http://dict.youdao.com/w/"&amp;B1871,"有道")</f>
        <v/>
      </c>
    </row>
    <row r="1872">
      <c r="B1872" s="1" t="inlineStr">
        <is>
          <t>symmetrical</t>
        </is>
      </c>
      <c r="C1872" s="7">
        <f>"adj. 匀称的，对称的"</f>
        <v/>
      </c>
      <c r="G1872" s="18">
        <f>HYPERLINK("D:\python\英语学习\voices\"&amp;B1872&amp;"_1.mp3","BrE")</f>
        <v/>
      </c>
      <c r="H1872" s="18">
        <f>HYPERLINK("D:\python\英语学习\voices\"&amp;B1872&amp;"_2.mp3","AmE")</f>
        <v/>
      </c>
      <c r="I1872" s="18">
        <f>HYPERLINK("http://dict.youdao.com/w/"&amp;B1872,"有道")</f>
        <v/>
      </c>
    </row>
    <row r="1873">
      <c r="B1873" s="1" t="inlineStr">
        <is>
          <t>symmetry</t>
        </is>
      </c>
      <c r="C1873" s="7">
        <f>"n. 对称（性）；整齐，匀称"</f>
        <v/>
      </c>
      <c r="G1873" s="18">
        <f>HYPERLINK("D:\python\英语学习\voices\"&amp;B1873&amp;"_1.mp3","BrE")</f>
        <v/>
      </c>
      <c r="H1873" s="18">
        <f>HYPERLINK("D:\python\英语学习\voices\"&amp;B1873&amp;"_2.mp3","AmE")</f>
        <v/>
      </c>
      <c r="I1873" s="18">
        <f>HYPERLINK("http://dict.youdao.com/w/"&amp;B1873,"有道")</f>
        <v/>
      </c>
    </row>
    <row r="1874">
      <c r="B1874" s="1" t="inlineStr">
        <is>
          <t>sympathize</t>
        </is>
      </c>
      <c r="C1874" s="7">
        <f>"vi. 同情，怜悯；支持"</f>
        <v/>
      </c>
      <c r="G1874" s="18">
        <f>HYPERLINK("D:\python\英语学习\voices\"&amp;B1874&amp;"_1.mp3","BrE")</f>
        <v/>
      </c>
      <c r="H1874" s="18">
        <f>HYPERLINK("D:\python\英语学习\voices\"&amp;B1874&amp;"_2.mp3","AmE")</f>
        <v/>
      </c>
      <c r="I1874" s="18">
        <f>HYPERLINK("http://dict.youdao.com/w/"&amp;B1874,"有道")</f>
        <v/>
      </c>
    </row>
    <row r="1875">
      <c r="B1875" s="1" t="inlineStr">
        <is>
          <t>symphony</t>
        </is>
      </c>
      <c r="C1875" s="7">
        <f>"n. 交响乐；谐声，和声"</f>
        <v/>
      </c>
      <c r="G1875" s="18">
        <f>HYPERLINK("D:\python\英语学习\voices\"&amp;B1875&amp;"_1.mp3","BrE")</f>
        <v/>
      </c>
      <c r="H1875" s="18">
        <f>HYPERLINK("D:\python\英语学习\voices\"&amp;B1875&amp;"_2.mp3","AmE")</f>
        <v/>
      </c>
      <c r="I1875" s="18">
        <f>HYPERLINK("http://dict.youdao.com/w/"&amp;B1875,"有道")</f>
        <v/>
      </c>
    </row>
    <row r="1876">
      <c r="B1876" s="1" t="inlineStr">
        <is>
          <t>symptom</t>
        </is>
      </c>
      <c r="C1876" s="7">
        <f>"n. [临床] 症状；征兆"</f>
        <v/>
      </c>
      <c r="G1876" s="18">
        <f>HYPERLINK("D:\python\英语学习\voices\"&amp;B1876&amp;"_1.mp3","BrE")</f>
        <v/>
      </c>
      <c r="H1876" s="18">
        <f>HYPERLINK("D:\python\英语学习\voices\"&amp;B1876&amp;"_2.mp3","AmE")</f>
        <v/>
      </c>
      <c r="I1876" s="18">
        <f>HYPERLINK("http://dict.youdao.com/w/"&amp;B1876,"有道")</f>
        <v/>
      </c>
    </row>
    <row customHeight="1" ht="42.75" r="1877">
      <c r="B1877" s="1" t="inlineStr">
        <is>
          <t>syndicate</t>
        </is>
      </c>
      <c r="C1877" s="7">
        <f>"n. 辛迪加；企业联合；财团"&amp;CHAR(10)&amp;"vi. 联合成辛迪加；组成企业联合组织"&amp;CHAR(10)&amp;"vt. 把…联合成辛迪加；在多家报刊上同时发表"</f>
        <v/>
      </c>
      <c r="G1877" s="18">
        <f>HYPERLINK("D:\python\英语学习\voices\"&amp;B1877&amp;"_1.mp3","BrE")</f>
        <v/>
      </c>
      <c r="H1877" s="18">
        <f>HYPERLINK("D:\python\英语学习\voices\"&amp;B1877&amp;"_2.mp3","AmE")</f>
        <v/>
      </c>
      <c r="I1877" s="18">
        <f>HYPERLINK("http://dict.youdao.com/w/"&amp;B1877,"有道")</f>
        <v/>
      </c>
    </row>
    <row r="1878">
      <c r="B1878" s="1" t="inlineStr">
        <is>
          <t>syntactic</t>
        </is>
      </c>
      <c r="C1878" s="7">
        <f>"adj. 句法的；语法的；依据造句法的"</f>
        <v/>
      </c>
      <c r="G1878" s="18">
        <f>HYPERLINK("D:\python\英语学习\voices\"&amp;B1878&amp;"_1.mp3","BrE")</f>
        <v/>
      </c>
      <c r="H1878" s="18">
        <f>HYPERLINK("D:\python\英语学习\voices\"&amp;B1878&amp;"_2.mp3","AmE")</f>
        <v/>
      </c>
      <c r="I1878" s="18">
        <f>HYPERLINK("http://dict.youdao.com/w/"&amp;B1878,"有道")</f>
        <v/>
      </c>
    </row>
    <row r="1879">
      <c r="B1879" s="1" t="inlineStr">
        <is>
          <t>syntax</t>
        </is>
      </c>
      <c r="C1879" s="7">
        <f>"n. 语法；句法；有秩序的排列"</f>
        <v/>
      </c>
      <c r="G1879" s="18">
        <f>HYPERLINK("D:\python\英语学习\voices\"&amp;B1879&amp;"_1.mp3","BrE")</f>
        <v/>
      </c>
      <c r="H1879" s="18">
        <f>HYPERLINK("D:\python\英语学习\voices\"&amp;B1879&amp;"_2.mp3","AmE")</f>
        <v/>
      </c>
      <c r="I1879" s="18">
        <f>HYPERLINK("http://dict.youdao.com/w/"&amp;B1879,"有道")</f>
        <v/>
      </c>
    </row>
    <row r="1880">
      <c r="B1880" s="1" t="inlineStr">
        <is>
          <t>synthesis</t>
        </is>
      </c>
      <c r="C1880" s="7">
        <f>"n. 综合，[化学] 合成；综合体"</f>
        <v/>
      </c>
      <c r="G1880" s="18">
        <f>HYPERLINK("D:\python\英语学习\voices\"&amp;B1880&amp;"_1.mp3","BrE")</f>
        <v/>
      </c>
      <c r="H1880" s="18">
        <f>HYPERLINK("D:\python\英语学习\voices\"&amp;B1880&amp;"_2.mp3","AmE")</f>
        <v/>
      </c>
      <c r="I1880" s="18">
        <f>HYPERLINK("http://dict.youdao.com/w/"&amp;B1880,"有道")</f>
        <v/>
      </c>
    </row>
    <row customHeight="1" ht="28.5" r="1881">
      <c r="B1881" s="1" t="inlineStr">
        <is>
          <t>tabloid</t>
        </is>
      </c>
      <c r="C1881" s="7">
        <f>"n. 小报；药片；文摘；小型画报"&amp;CHAR(10)&amp;"adj. 小报式的；缩略的；轰动性的；扼要的"</f>
        <v/>
      </c>
      <c r="G1881" s="18">
        <f>HYPERLINK("D:\python\英语学习\voices\"&amp;B1881&amp;"_1.mp3","BrE")</f>
        <v/>
      </c>
      <c r="H1881" s="18">
        <f>HYPERLINK("D:\python\英语学习\voices\"&amp;B1881&amp;"_2.mp3","AmE")</f>
        <v/>
      </c>
      <c r="I1881" s="18">
        <f>HYPERLINK("http://dict.youdao.com/w/"&amp;B1881,"有道")</f>
        <v/>
      </c>
    </row>
    <row customHeight="1" ht="42.75" r="1882">
      <c r="B1882" s="1" t="inlineStr">
        <is>
          <t>tabulate</t>
        </is>
      </c>
      <c r="C1882" s="7">
        <f>"adj. 平板状的；有平面的"&amp;CHAR(10)&amp;"vt. 使成平面；把…制成表格"&amp;CHAR(10)&amp;"vi. 制成表格"</f>
        <v/>
      </c>
      <c r="G1882" s="18">
        <f>HYPERLINK("D:\python\英语学习\voices\"&amp;B1882&amp;"_1.mp3","BrE")</f>
        <v/>
      </c>
      <c r="H1882" s="18">
        <f>HYPERLINK("D:\python\英语学习\voices\"&amp;B1882&amp;"_2.mp3","AmE")</f>
        <v/>
      </c>
      <c r="I1882" s="18">
        <f>HYPERLINK("http://dict.youdao.com/w/"&amp;B1882,"有道")</f>
        <v/>
      </c>
    </row>
    <row customHeight="1" ht="57" r="1883">
      <c r="B1883" s="1" t="inlineStr">
        <is>
          <t>tack</t>
        </is>
      </c>
      <c r="C1883" s="7">
        <f>"n. 大头钉；粗缝；行动方针；食物"&amp;CHAR(10)&amp;"vt. 附加；以大头针钉住"&amp;CHAR(10)&amp;"vi. 抢风航行；作文字形移动"&amp;CHAR(10)&amp;"n. (Tack)人名；(英、德、西)塔克"</f>
        <v/>
      </c>
      <c r="G1883" s="18">
        <f>HYPERLINK("D:\python\英语学习\voices\"&amp;B1883&amp;"_1.mp3","BrE")</f>
        <v/>
      </c>
      <c r="H1883" s="18">
        <f>HYPERLINK("D:\python\英语学习\voices\"&amp;B1883&amp;"_2.mp3","AmE")</f>
        <v/>
      </c>
      <c r="I1883" s="18">
        <f>HYPERLINK("http://dict.youdao.com/w/"&amp;B1883,"有道")</f>
        <v/>
      </c>
    </row>
    <row customHeight="1" ht="42.75" r="1884">
      <c r="B1884" s="1" t="inlineStr">
        <is>
          <t>tackle</t>
        </is>
      </c>
      <c r="C1884" s="7">
        <f>"n. 滑车；装备；用具；扭倒"&amp;CHAR(10)&amp;"vt. 处理；抓住；固定；与…交涉"&amp;CHAR(10)&amp;"vi. 扭倒；拦截抢球"</f>
        <v/>
      </c>
      <c r="G1884" s="18">
        <f>HYPERLINK("D:\python\英语学习\voices\"&amp;B1884&amp;"_1.mp3","BrE")</f>
        <v/>
      </c>
      <c r="H1884" s="18">
        <f>HYPERLINK("D:\python\英语学习\voices\"&amp;B1884&amp;"_2.mp3","AmE")</f>
        <v/>
      </c>
      <c r="I1884" s="18">
        <f>HYPERLINK("http://dict.youdao.com/w/"&amp;B1884,"有道")</f>
        <v/>
      </c>
    </row>
    <row r="1885">
      <c r="B1885" s="1" t="inlineStr">
        <is>
          <t>tacky</t>
        </is>
      </c>
      <c r="C1885" s="7">
        <f>"adj. 俗气的；发黏的；缺乏教养或风度的"</f>
        <v/>
      </c>
      <c r="G1885" s="18">
        <f>HYPERLINK("D:\python\英语学习\voices\"&amp;B1885&amp;"_1.mp3","BrE")</f>
        <v/>
      </c>
      <c r="H1885" s="18">
        <f>HYPERLINK("D:\python\英语学习\voices\"&amp;B1885&amp;"_2.mp3","AmE")</f>
        <v/>
      </c>
      <c r="I1885" s="18">
        <f>HYPERLINK("http://dict.youdao.com/w/"&amp;B1885,"有道")</f>
        <v/>
      </c>
    </row>
    <row r="1886">
      <c r="B1886" s="1" t="inlineStr">
        <is>
          <t>tact</t>
        </is>
      </c>
      <c r="C1886" s="7">
        <f>"n. 机智；老练；圆滑；鉴赏力"</f>
        <v/>
      </c>
      <c r="G1886" s="18">
        <f>HYPERLINK("D:\python\英语学习\voices\"&amp;B1886&amp;"_1.mp3","BrE")</f>
        <v/>
      </c>
      <c r="H1886" s="18">
        <f>HYPERLINK("D:\python\英语学习\voices\"&amp;B1886&amp;"_2.mp3","AmE")</f>
        <v/>
      </c>
      <c r="I1886" s="18">
        <f>HYPERLINK("http://dict.youdao.com/w/"&amp;B1886,"有道")</f>
        <v/>
      </c>
    </row>
    <row customHeight="1" ht="42.75" r="1887">
      <c r="B1887" s="1" t="inlineStr">
        <is>
          <t>taint</t>
        </is>
      </c>
      <c r="C1887" s="7">
        <f>"vt. 污染；腐蚀；使感染"&amp;CHAR(10)&amp;"n. 污点；感染"&amp;CHAR(10)&amp;"vi. 败坏；被污染"</f>
        <v/>
      </c>
      <c r="E1887" t="inlineStr">
        <is>
          <t>moral taint道德败坏</t>
        </is>
      </c>
      <c r="G1887" s="18">
        <f>HYPERLINK("D:\python\英语学习\voices\"&amp;B1887&amp;"_1.mp3","BrE")</f>
        <v/>
      </c>
      <c r="H1887" s="18">
        <f>HYPERLINK("D:\python\英语学习\voices\"&amp;B1887&amp;"_2.mp3","AmE")</f>
        <v/>
      </c>
      <c r="I1887" s="18">
        <f>HYPERLINK("http://dict.youdao.com/w/"&amp;B1887,"有道")</f>
        <v/>
      </c>
    </row>
    <row customHeight="1" ht="99.75" r="1888">
      <c r="B1888" s="1" t="inlineStr">
        <is>
          <t>tan</t>
        </is>
      </c>
      <c r="C1888" s="7">
        <f>"n. （日晒后皮肤的）黝黑色；棕褐色；鞣料；马戏团"&amp;CHAR(10)&amp;"vt. 鞣（革）；晒成褐色"&amp;CHAR(10)&amp;"vi. 晒成棕褐色"&amp;CHAR(10)&amp;"adj. 黄褐色的；鞣皮的"&amp;CHAR(10)&amp;"n. (Tan)人名；(俄、土、土库、吉尔)塔恩；(英)坦；(柬、老)丹"</f>
        <v/>
      </c>
      <c r="G1888" s="18">
        <f>HYPERLINK("D:\python\英语学习\voices\"&amp;B1888&amp;"_1.mp3","BrE")</f>
        <v/>
      </c>
      <c r="H1888" s="18">
        <f>HYPERLINK("D:\python\英语学习\voices\"&amp;B1888&amp;"_2.mp3","AmE")</f>
        <v/>
      </c>
      <c r="I1888" s="18">
        <f>HYPERLINK("http://dict.youdao.com/w/"&amp;B1888,"有道")</f>
        <v/>
      </c>
    </row>
    <row customHeight="1" ht="42.75" r="1889">
      <c r="B1889" s="1" t="inlineStr">
        <is>
          <t>tangle</t>
        </is>
      </c>
      <c r="C1889" s="7">
        <f>"n. 纠纷；混乱状态"&amp;CHAR(10)&amp;"vt. 使纠缠；处于混乱状态"&amp;CHAR(10)&amp;"vi. 缠结；乱作一团"</f>
        <v/>
      </c>
      <c r="G1889" s="18">
        <f>HYPERLINK("D:\python\英语学习\voices\"&amp;B1889&amp;"_1.mp3","BrE")</f>
        <v/>
      </c>
      <c r="H1889" s="18">
        <f>HYPERLINK("D:\python\英语学习\voices\"&amp;B1889&amp;"_2.mp3","AmE")</f>
        <v/>
      </c>
      <c r="I1889" s="18">
        <f>HYPERLINK("http://dict.youdao.com/w/"&amp;B1889,"有道")</f>
        <v/>
      </c>
    </row>
    <row customHeight="1" ht="28.5" r="1890">
      <c r="A1890" s="1" t="inlineStr">
        <is>
          <t>unnecessary</t>
        </is>
      </c>
      <c r="B1890" s="1" t="inlineStr">
        <is>
          <t>tariff</t>
        </is>
      </c>
      <c r="C1890" s="7">
        <f>"n. 关税表；收费表"&amp;CHAR(10)&amp;"vt. 定税率；征收关税"</f>
        <v/>
      </c>
      <c r="G1890" s="18">
        <f>HYPERLINK("D:\python\英语学习\voices\"&amp;B1890&amp;"_1.mp3","BrE")</f>
        <v/>
      </c>
      <c r="H1890" s="18">
        <f>HYPERLINK("D:\python\英语学习\voices\"&amp;B1890&amp;"_2.mp3","AmE")</f>
        <v/>
      </c>
      <c r="I1890" s="18">
        <f>HYPERLINK("http://dict.youdao.com/w/"&amp;B1890,"有道")</f>
        <v/>
      </c>
    </row>
    <row r="1891">
      <c r="B1891" s="1" t="inlineStr">
        <is>
          <t>tedious</t>
        </is>
      </c>
      <c r="C1891" s="7">
        <f>"adj. 沉闷的；冗长乏味的"</f>
        <v/>
      </c>
      <c r="E1891" s="6" t="inlineStr">
        <is>
          <t>可以形容课程/讲座乏味</t>
        </is>
      </c>
      <c r="G1891" s="18">
        <f>HYPERLINK("D:\python\英语学习\voices\"&amp;B1891&amp;"_1.mp3","BrE")</f>
        <v/>
      </c>
      <c r="H1891" s="18">
        <f>HYPERLINK("D:\python\英语学习\voices\"&amp;B1891&amp;"_2.mp3","AmE")</f>
        <v/>
      </c>
      <c r="I1891" s="18">
        <f>HYPERLINK("http://dict.youdao.com/w/"&amp;B1891,"有道")</f>
        <v/>
      </c>
    </row>
    <row customHeight="1" ht="57" r="1892">
      <c r="B1892" s="1" t="inlineStr">
        <is>
          <t>tee</t>
        </is>
      </c>
      <c r="C1892" s="7">
        <f>"n. 球座；字母T；T形物"&amp;CHAR(10)&amp;"adj. T字形的"&amp;CHAR(10)&amp;"vt. 搁在球座上"&amp;CHAR(10)&amp;"vi. 放球于球座上"</f>
        <v/>
      </c>
      <c r="G1892" s="18">
        <f>HYPERLINK("D:\python\英语学习\voices\"&amp;B1892&amp;"_1.mp3","BrE")</f>
        <v/>
      </c>
      <c r="H1892" s="18">
        <f>HYPERLINK("D:\python\英语学习\voices\"&amp;B1892&amp;"_2.mp3","AmE")</f>
        <v/>
      </c>
      <c r="I1892" s="18">
        <f>HYPERLINK("http://dict.youdao.com/w/"&amp;B1892,"有道")</f>
        <v/>
      </c>
    </row>
    <row customHeight="1" ht="42.75" r="1893">
      <c r="B1893" s="1" t="inlineStr">
        <is>
          <t>telex</t>
        </is>
      </c>
      <c r="C1893" s="7">
        <f>"n. 电传；电传机；用户直通电报"&amp;CHAR(10)&amp;"vt. 用电传拍发；用直通电报拍发"&amp;CHAR(10)&amp;"vi. 发电传；拍发直通电报"</f>
        <v/>
      </c>
      <c r="E1893" s="6" t="inlineStr">
        <is>
          <t>x</t>
        </is>
      </c>
      <c r="G1893" s="18">
        <f>HYPERLINK("D:\python\英语学习\voices\"&amp;B1893&amp;"_1.mp3","BrE")</f>
        <v/>
      </c>
      <c r="H1893" s="18">
        <f>HYPERLINK("D:\python\英语学习\voices\"&amp;B1893&amp;"_2.mp3","AmE")</f>
        <v/>
      </c>
      <c r="I1893" s="18">
        <f>HYPERLINK("http://dict.youdao.com/w/"&amp;B1893,"有道")</f>
        <v/>
      </c>
    </row>
    <row customHeight="1" ht="42.75" r="1894">
      <c r="B1894" s="1" t="inlineStr">
        <is>
          <t>temper</t>
        </is>
      </c>
      <c r="C1894" s="7">
        <f>"n. 脾气；（钢等）回火；性情；倾向"&amp;CHAR(10)&amp;"vt. 使回火；锻炼；调和；使缓和"&amp;CHAR(10)&amp;"vi. 回火；调和"</f>
        <v/>
      </c>
      <c r="G1894" s="18">
        <f>HYPERLINK("D:\python\英语学习\voices\"&amp;B1894&amp;"_1.mp3","BrE")</f>
        <v/>
      </c>
      <c r="H1894" s="18">
        <f>HYPERLINK("D:\python\英语学习\voices\"&amp;B1894&amp;"_2.mp3","AmE")</f>
        <v/>
      </c>
      <c r="I1894" s="18">
        <f>HYPERLINK("http://dict.youdao.com/w/"&amp;B1894,"有道")</f>
        <v/>
      </c>
    </row>
    <row r="1895">
      <c r="B1895" s="1" t="inlineStr">
        <is>
          <t>temperament</t>
        </is>
      </c>
      <c r="C1895" s="7">
        <f>"n. 气质，性情，性格；急躁"</f>
        <v/>
      </c>
      <c r="G1895" s="18">
        <f>HYPERLINK("D:\python\英语学习\voices\"&amp;B1895&amp;"_1.mp3","BrE")</f>
        <v/>
      </c>
      <c r="H1895" s="18">
        <f>HYPERLINK("D:\python\英语学习\voices\"&amp;B1895&amp;"_2.mp3","AmE")</f>
        <v/>
      </c>
      <c r="I1895" s="18">
        <f>HYPERLINK("http://dict.youdao.com/w/"&amp;B1895,"有道")</f>
        <v/>
      </c>
    </row>
    <row customHeight="1" ht="28.5" r="1896">
      <c r="B1896" s="1" t="inlineStr">
        <is>
          <t>tempo</t>
        </is>
      </c>
      <c r="C1896" s="7">
        <f>"n. 速度，发展速度；拍子"&amp;CHAR(10)&amp;"n. (Tempo)人名；(意)滕波"</f>
        <v/>
      </c>
      <c r="G1896" s="18">
        <f>HYPERLINK("D:\python\英语学习\voices\"&amp;B1896&amp;"_1.mp3","BrE")</f>
        <v/>
      </c>
      <c r="H1896" s="18">
        <f>HYPERLINK("D:\python\英语学习\voices\"&amp;B1896&amp;"_2.mp3","AmE")</f>
        <v/>
      </c>
      <c r="I1896" s="18">
        <f>HYPERLINK("http://dict.youdao.com/w/"&amp;B1896,"有道")</f>
        <v/>
      </c>
    </row>
    <row customHeight="1" ht="42.75" r="1897">
      <c r="B1897" s="1" t="inlineStr">
        <is>
          <t>temporal</t>
        </is>
      </c>
      <c r="C1897" s="7">
        <f>"adj. 暂时的；当时的；现世的"&amp;CHAR(10)&amp;"n. 世间万物；暂存的事物"&amp;CHAR(10)&amp;"n. (Temporal)人名；(法)唐波拉尔"</f>
        <v/>
      </c>
      <c r="G1897" s="18">
        <f>HYPERLINK("D:\python\英语学习\voices\"&amp;B1897&amp;"_1.mp3","BrE")</f>
        <v/>
      </c>
      <c r="H1897" s="18">
        <f>HYPERLINK("D:\python\英语学习\voices\"&amp;B1897&amp;"_2.mp3","AmE")</f>
        <v/>
      </c>
      <c r="I1897" s="18">
        <f>HYPERLINK("http://dict.youdao.com/w/"&amp;B1897,"有道")</f>
        <v/>
      </c>
    </row>
    <row r="1898">
      <c r="B1898" s="1" t="inlineStr">
        <is>
          <t>tempt</t>
        </is>
      </c>
      <c r="C1898" s="7">
        <f>"vt. 诱惑；引起；冒…的风险；使感兴趣"</f>
        <v/>
      </c>
      <c r="G1898" s="18">
        <f>HYPERLINK("D:\python\英语学习\voices\"&amp;B1898&amp;"_1.mp3","BrE")</f>
        <v/>
      </c>
      <c r="H1898" s="18">
        <f>HYPERLINK("D:\python\英语学习\voices\"&amp;B1898&amp;"_2.mp3","AmE")</f>
        <v/>
      </c>
      <c r="I1898" s="18">
        <f>HYPERLINK("http://dict.youdao.com/w/"&amp;B1898,"有道")</f>
        <v/>
      </c>
    </row>
    <row customHeight="1" ht="57" r="1899">
      <c r="B1899" s="1" t="inlineStr">
        <is>
          <t>tenor</t>
        </is>
      </c>
      <c r="C1899" s="7">
        <f>"n. 男高音；要旨，大意；票据的限期；稳定的进程"&amp;CHAR(10)&amp;"adj. 男高音的"&amp;CHAR(10)&amp;"n. (Tenor)人名；(瑞典)特诺尔"</f>
        <v/>
      </c>
      <c r="G1899" s="18">
        <f>HYPERLINK("D:\python\英语学习\voices\"&amp;B1899&amp;"_1.mp3","BrE")</f>
        <v/>
      </c>
      <c r="H1899" s="18">
        <f>HYPERLINK("D:\python\英语学习\voices\"&amp;B1899&amp;"_2.mp3","AmE")</f>
        <v/>
      </c>
      <c r="I1899" s="18">
        <f>HYPERLINK("http://dict.youdao.com/w/"&amp;B1899,"有道")</f>
        <v/>
      </c>
    </row>
    <row r="1900">
      <c r="B1900" s="1" t="inlineStr">
        <is>
          <t>terminology</t>
        </is>
      </c>
      <c r="C1900" s="7">
        <f>"n. 术语，术语学；用辞"</f>
        <v/>
      </c>
      <c r="G1900" s="18">
        <f>HYPERLINK("D:\python\英语学习\voices\"&amp;B1900&amp;"_1.mp3","BrE")</f>
        <v/>
      </c>
      <c r="H1900" s="18">
        <f>HYPERLINK("D:\python\英语学习\voices\"&amp;B1900&amp;"_2.mp3","AmE")</f>
        <v/>
      </c>
      <c r="I1900" s="18">
        <f>HYPERLINK("http://dict.youdao.com/w/"&amp;B1900,"有道")</f>
        <v/>
      </c>
    </row>
    <row customHeight="1" ht="71.25" r="1901">
      <c r="B1901" s="1" t="inlineStr">
        <is>
          <t>terrace</t>
        </is>
      </c>
      <c r="C1901" s="7">
        <f>"n. 平台；梯田；阳台"&amp;CHAR(10)&amp;"vt. 使成梯田，使成阶地；使有平台屋顶"&amp;CHAR(10)&amp;"vi. 成阶地；成梯田；筑成坛"&amp;CHAR(10)&amp;"adj. （女服）叠层式的"&amp;CHAR(10)&amp;"n. (Terrace)人名；(英)特勒斯"</f>
        <v/>
      </c>
      <c r="G1901" s="18">
        <f>HYPERLINK("D:\python\英语学习\voices\"&amp;B1901&amp;"_1.mp3","BrE")</f>
        <v/>
      </c>
      <c r="H1901" s="18">
        <f>HYPERLINK("D:\python\英语学习\voices\"&amp;B1901&amp;"_2.mp3","AmE")</f>
        <v/>
      </c>
      <c r="I1901" s="18">
        <f>HYPERLINK("http://dict.youdao.com/w/"&amp;B1901,"有道")</f>
        <v/>
      </c>
    </row>
    <row r="1902">
      <c r="B1902" s="1" t="inlineStr">
        <is>
          <t>testament</t>
        </is>
      </c>
      <c r="C1902" s="7">
        <f>"n. [法] 遗嘱；圣约；确实的证明"</f>
        <v/>
      </c>
      <c r="G1902" s="18">
        <f>HYPERLINK("D:\python\英语学习\voices\"&amp;B1902&amp;"_1.mp3","BrE")</f>
        <v/>
      </c>
      <c r="H1902" s="18">
        <f>HYPERLINK("D:\python\英语学习\voices\"&amp;B1902&amp;"_2.mp3","AmE")</f>
        <v/>
      </c>
      <c r="I1902" s="18">
        <f>HYPERLINK("http://dict.youdao.com/w/"&amp;B1902,"有道")</f>
        <v/>
      </c>
    </row>
    <row customHeight="1" ht="57" r="1903">
      <c r="B1903" s="1" t="inlineStr">
        <is>
          <t>thaw</t>
        </is>
      </c>
      <c r="C1903" s="7">
        <f>"vi. 融解；变暖和"&amp;CHAR(10)&amp;"vt. 使融解；使变得不拘束"&amp;CHAR(10)&amp;"n. 解冻；融雪"&amp;CHAR(10)&amp;"n. (Thaw)人名；(缅)陶"</f>
        <v/>
      </c>
      <c r="E1903" s="6" t="inlineStr">
        <is>
          <t>thaw out 融化，解冻</t>
        </is>
      </c>
      <c r="G1903" s="18">
        <f>HYPERLINK("D:\python\英语学习\voices\"&amp;B1903&amp;"_1.mp3","BrE")</f>
        <v/>
      </c>
      <c r="H1903" s="18">
        <f>HYPERLINK("D:\python\英语学习\voices\"&amp;B1903&amp;"_2.mp3","AmE")</f>
        <v/>
      </c>
      <c r="I1903" s="18">
        <f>HYPERLINK("http://dict.youdao.com/w/"&amp;B1903,"有道")</f>
        <v/>
      </c>
    </row>
    <row r="1904">
      <c r="B1904" s="1" t="inlineStr">
        <is>
          <t>theorem</t>
        </is>
      </c>
      <c r="C1904" s="7">
        <f>"n. [数] 定理；原理"</f>
        <v/>
      </c>
      <c r="G1904" s="18">
        <f>HYPERLINK("D:\python\英语学习\voices\"&amp;B1904&amp;"_1.mp3","BrE")</f>
        <v/>
      </c>
      <c r="H1904" s="18">
        <f>HYPERLINK("D:\python\英语学习\voices\"&amp;B1904&amp;"_2.mp3","AmE")</f>
        <v/>
      </c>
      <c r="I1904" s="18">
        <f>HYPERLINK("http://dict.youdao.com/w/"&amp;B1904,"有道")</f>
        <v/>
      </c>
    </row>
    <row r="1905">
      <c r="B1905" s="1" t="inlineStr">
        <is>
          <t>thereafter</t>
        </is>
      </c>
      <c r="C1905" s="7">
        <f>"adv. 其后；从那时以后"</f>
        <v/>
      </c>
      <c r="E1905" s="6" t="inlineStr">
        <is>
          <t>shortly thereafter此后不久</t>
        </is>
      </c>
      <c r="G1905" s="18">
        <f>HYPERLINK("D:\python\英语学习\voices\"&amp;B1905&amp;"_1.mp3","BrE")</f>
        <v/>
      </c>
      <c r="H1905" s="18">
        <f>HYPERLINK("D:\python\英语学习\voices\"&amp;B1905&amp;"_2.mp3","AmE")</f>
        <v/>
      </c>
      <c r="I1905" s="18">
        <f>HYPERLINK("http://dict.youdao.com/w/"&amp;B1905,"有道")</f>
        <v/>
      </c>
    </row>
    <row r="1906">
      <c r="B1906" s="1" t="inlineStr">
        <is>
          <t>therein</t>
        </is>
      </c>
      <c r="C1906" s="7">
        <f>"adv. 在其中；在那里"</f>
        <v/>
      </c>
      <c r="G1906" s="18">
        <f>HYPERLINK("D:\python\英语学习\voices\"&amp;B1906&amp;"_1.mp3","BrE")</f>
        <v/>
      </c>
      <c r="H1906" s="18">
        <f>HYPERLINK("D:\python\英语学习\voices\"&amp;B1906&amp;"_2.mp3","AmE")</f>
        <v/>
      </c>
      <c r="I1906" s="18">
        <f>HYPERLINK("http://dict.youdao.com/w/"&amp;B1906,"有道")</f>
        <v/>
      </c>
    </row>
    <row r="1907">
      <c r="B1907" s="1" t="inlineStr">
        <is>
          <t>thereinto</t>
        </is>
      </c>
      <c r="C1907" s="7">
        <f>"adv. 在其中，进入其中；在那里面"</f>
        <v/>
      </c>
      <c r="G1907" s="18">
        <f>HYPERLINK("D:\python\英语学习\voices\"&amp;B1907&amp;"_1.mp3","BrE")</f>
        <v/>
      </c>
      <c r="H1907" s="18">
        <f>HYPERLINK("D:\python\英语学习\voices\"&amp;B1907&amp;"_2.mp3","AmE")</f>
        <v/>
      </c>
      <c r="I1907" s="18">
        <f>HYPERLINK("http://dict.youdao.com/w/"&amp;B1907,"有道")</f>
        <v/>
      </c>
    </row>
    <row r="1908">
      <c r="B1908" s="1" t="inlineStr">
        <is>
          <t>thereof</t>
        </is>
      </c>
      <c r="C1908" s="7">
        <f>"adv. 它的；由此；在其中；关于…；将它"</f>
        <v/>
      </c>
      <c r="G1908" s="18">
        <f>HYPERLINK("D:\python\英语学习\voices\"&amp;B1908&amp;"_1.mp3","BrE")</f>
        <v/>
      </c>
      <c r="H1908" s="18">
        <f>HYPERLINK("D:\python\英语学习\voices\"&amp;B1908&amp;"_2.mp3","AmE")</f>
        <v/>
      </c>
      <c r="I1908" s="18">
        <f>HYPERLINK("http://dict.youdao.com/w/"&amp;B1908,"有道")</f>
        <v/>
      </c>
    </row>
    <row r="1909">
      <c r="B1909" s="1" t="inlineStr">
        <is>
          <t>thermometer</t>
        </is>
      </c>
      <c r="C1909" s="7">
        <f>"n. 温度计；体温计"</f>
        <v/>
      </c>
      <c r="G1909" s="18">
        <f>HYPERLINK("D:\python\英语学习\voices\"&amp;B1909&amp;"_1.mp3","BrE")</f>
        <v/>
      </c>
      <c r="H1909" s="18">
        <f>HYPERLINK("D:\python\英语学习\voices\"&amp;B1909&amp;"_2.mp3","AmE")</f>
        <v/>
      </c>
      <c r="I1909" s="18">
        <f>HYPERLINK("http://dict.youdao.com/w/"&amp;B1909,"有道")</f>
        <v/>
      </c>
    </row>
    <row r="1910">
      <c r="B1910" s="1" t="inlineStr">
        <is>
          <t>thesis</t>
        </is>
      </c>
      <c r="C1910" s="7">
        <f>"n. 论文；论点"</f>
        <v/>
      </c>
      <c r="G1910" s="18">
        <f>HYPERLINK("D:\python\英语学习\voices\"&amp;B1910&amp;"_1.mp3","BrE")</f>
        <v/>
      </c>
      <c r="H1910" s="18">
        <f>HYPERLINK("D:\python\英语学习\voices\"&amp;B1910&amp;"_2.mp3","AmE")</f>
        <v/>
      </c>
      <c r="I1910" s="18">
        <f>HYPERLINK("http://dict.youdao.com/w/"&amp;B1910,"有道")</f>
        <v/>
      </c>
    </row>
    <row customHeight="1" ht="28.5" r="1911">
      <c r="A1911" s="1" t="inlineStr">
        <is>
          <t>practice</t>
        </is>
      </c>
      <c r="B1911" s="1" t="inlineStr">
        <is>
          <t>overpass</t>
        </is>
      </c>
      <c r="C1911" s="7">
        <f>"vt. 超越；胜过；忽略"&amp;CHAR(10)&amp;"n. 天桥；陆桥"</f>
        <v/>
      </c>
      <c r="G1911" s="18">
        <f>HYPERLINK("D:\python\英语学习\voices\"&amp;B1911&amp;"_1.mp3","BrE")</f>
        <v/>
      </c>
      <c r="H1911" s="18">
        <f>HYPERLINK("D:\python\英语学习\voices\"&amp;B1911&amp;"_2.mp3","AmE")</f>
        <v/>
      </c>
      <c r="I1911" s="18">
        <f>HYPERLINK("http://dict.youdao.com/w/"&amp;B1911,"有道")</f>
        <v/>
      </c>
    </row>
    <row r="1912">
      <c r="B1912" s="1" t="inlineStr">
        <is>
          <t>thirsty</t>
        </is>
      </c>
      <c r="C1912" s="7">
        <f>"adj. 口渴的，口干的；渴望的，热望的"</f>
        <v/>
      </c>
      <c r="E1912" s="6" t="inlineStr">
        <is>
          <t>渴望</t>
        </is>
      </c>
      <c r="G1912" s="18">
        <f>HYPERLINK("D:\python\英语学习\voices\"&amp;B1912&amp;"_1.mp3","BrE")</f>
        <v/>
      </c>
      <c r="H1912" s="18">
        <f>HYPERLINK("D:\python\英语学习\voices\"&amp;B1912&amp;"_2.mp3","AmE")</f>
        <v/>
      </c>
      <c r="I1912" s="18">
        <f>HYPERLINK("http://dict.youdao.com/w/"&amp;B1912,"有道")</f>
        <v/>
      </c>
    </row>
    <row customHeight="1" ht="42.75" r="1913">
      <c r="B1913" s="1" t="inlineStr">
        <is>
          <t>thorn</t>
        </is>
      </c>
      <c r="C1913" s="7">
        <f>"n. 刺；[植] 荆棘"&amp;CHAR(10)&amp;"n. (Thorn)人名；(柬)通；(英)索恩；(法、德、丹、瑞典)托恩"</f>
        <v/>
      </c>
      <c r="D1913" s="6" t="inlineStr">
        <is>
          <t>throne-thorn</t>
        </is>
      </c>
      <c r="G1913" s="18">
        <f>HYPERLINK("D:\python\英语学习\voices\"&amp;B1913&amp;"_1.mp3","BrE")</f>
        <v/>
      </c>
      <c r="H1913" s="18">
        <f>HYPERLINK("D:\python\英语学习\voices\"&amp;B1913&amp;"_2.mp3","AmE")</f>
        <v/>
      </c>
      <c r="I1913" s="18">
        <f>HYPERLINK("http://dict.youdao.com/w/"&amp;B1913,"有道")</f>
        <v/>
      </c>
    </row>
    <row customHeight="1" ht="28.5" r="1914">
      <c r="A1914" s="1" t="inlineStr">
        <is>
          <t>unnecessary</t>
        </is>
      </c>
      <c r="B1914" s="1" t="inlineStr">
        <is>
          <t>thou</t>
        </is>
      </c>
      <c r="C1914" s="7">
        <f>"pron. 你；尔，汝（古时候的叫法）"&amp;CHAR(10)&amp;"n. (Thou)人名；(法、柬)图"</f>
        <v/>
      </c>
      <c r="G1914" s="18">
        <f>HYPERLINK("D:\python\英语学习\voices\"&amp;B1914&amp;"_1.mp3","BrE")</f>
        <v/>
      </c>
      <c r="H1914" s="18">
        <f>HYPERLINK("D:\python\英语学习\voices\"&amp;B1914&amp;"_2.mp3","AmE")</f>
        <v/>
      </c>
      <c r="I1914" s="18">
        <f>HYPERLINK("http://dict.youdao.com/w/"&amp;B1914,"有道")</f>
        <v/>
      </c>
    </row>
    <row customHeight="1" ht="57" r="1915">
      <c r="B1915" s="1" t="inlineStr">
        <is>
          <t>thrash</t>
        </is>
      </c>
      <c r="C1915" s="7">
        <f>"vt. 打；使逆行"&amp;CHAR(10)&amp;"vi. 打谷；白忙；猛烈摆动"&amp;CHAR(10)&amp;"n. 打谷；逆风浪行进；踢水动作"&amp;CHAR(10)&amp;"n. (Thrash)人名；(英)思拉什"</f>
        <v/>
      </c>
      <c r="G1915" s="18">
        <f>HYPERLINK("D:\python\英语学习\voices\"&amp;B1915&amp;"_1.mp3","BrE")</f>
        <v/>
      </c>
      <c r="H1915" s="18">
        <f>HYPERLINK("D:\python\英语学习\voices\"&amp;B1915&amp;"_2.mp3","AmE")</f>
        <v/>
      </c>
      <c r="I1915" s="18">
        <f>HYPERLINK("http://dict.youdao.com/w/"&amp;B1915,"有道")</f>
        <v/>
      </c>
    </row>
    <row r="1916">
      <c r="A1916" s="1" t="inlineStr">
        <is>
          <t>practice</t>
        </is>
      </c>
      <c r="B1916" s="1" t="inlineStr">
        <is>
          <t>overt</t>
        </is>
      </c>
      <c r="C1916" s="7">
        <f>"adj. 明显的；公然的；蓄意的"</f>
        <v/>
      </c>
      <c r="G1916" s="18">
        <f>HYPERLINK("D:\python\英语学习\voices\"&amp;B1916&amp;"_1.mp3","BrE")</f>
        <v/>
      </c>
      <c r="H1916" s="18">
        <f>HYPERLINK("D:\python\英语学习\voices\"&amp;B1916&amp;"_2.mp3","AmE")</f>
        <v/>
      </c>
      <c r="I1916" s="18">
        <f>HYPERLINK("http://dict.youdao.com/w/"&amp;B1916,"有道")</f>
        <v/>
      </c>
    </row>
    <row customHeight="1" ht="28.5" r="1917">
      <c r="B1917" s="1" t="inlineStr">
        <is>
          <t>thrift</t>
        </is>
      </c>
      <c r="C1917" s="7">
        <f>"n. 节俭；节约；[植] 海石竹"&amp;CHAR(10)&amp;"n. (Thrift)人名；(英)思里夫特"</f>
        <v/>
      </c>
      <c r="G1917" s="18">
        <f>HYPERLINK("D:\python\英语学习\voices\"&amp;B1917&amp;"_1.mp3","BrE")</f>
        <v/>
      </c>
      <c r="H1917" s="18">
        <f>HYPERLINK("D:\python\英语学习\voices\"&amp;B1917&amp;"_2.mp3","AmE")</f>
        <v/>
      </c>
      <c r="I1917" s="18">
        <f>HYPERLINK("http://dict.youdao.com/w/"&amp;B1917,"有道")</f>
        <v/>
      </c>
    </row>
    <row customHeight="1" ht="42.75" r="1918">
      <c r="B1918" s="1" t="inlineStr">
        <is>
          <t>thrill</t>
        </is>
      </c>
      <c r="C1918" s="7">
        <f>"n. 激动；震颤；紧张"&amp;CHAR(10)&amp;"vt. 使…颤动；使…紧张；使…感到兴奋或激动"&amp;CHAR(10)&amp;"vi. 颤抖；感到兴奋；感到紧张"</f>
        <v/>
      </c>
      <c r="G1918" s="18">
        <f>HYPERLINK("D:\python\英语学习\voices\"&amp;B1918&amp;"_1.mp3","BrE")</f>
        <v/>
      </c>
      <c r="H1918" s="18">
        <f>HYPERLINK("D:\python\英语学习\voices\"&amp;B1918&amp;"_2.mp3","AmE")</f>
        <v/>
      </c>
      <c r="I1918" s="18">
        <f>HYPERLINK("http://dict.youdao.com/w/"&amp;B1918,"有道")</f>
        <v/>
      </c>
    </row>
    <row customHeight="1" ht="57" r="1919">
      <c r="B1919" s="1" t="inlineStr">
        <is>
          <t>throne</t>
        </is>
      </c>
      <c r="C1919" s="7">
        <f>"n. 王座；君主；王权"&amp;CHAR(10)&amp;"vi. 登上王座"&amp;CHAR(10)&amp;"vt. 使登王位"&amp;CHAR(10)&amp;"n. (Throne)人名；(瑞典)特罗内；(英)特罗恩"</f>
        <v/>
      </c>
      <c r="G1919" s="18">
        <f>HYPERLINK("D:\python\英语学习\voices\"&amp;B1919&amp;"_1.mp3","BrE")</f>
        <v/>
      </c>
      <c r="H1919" s="18">
        <f>HYPERLINK("D:\python\英语学习\voices\"&amp;B1919&amp;"_2.mp3","AmE")</f>
        <v/>
      </c>
      <c r="I1919" s="18">
        <f>HYPERLINK("http://dict.youdao.com/w/"&amp;B1919,"有道")</f>
        <v/>
      </c>
    </row>
    <row customHeight="1" ht="42.75" r="1920">
      <c r="B1920" s="1" t="inlineStr">
        <is>
          <t>thump</t>
        </is>
      </c>
      <c r="C1920" s="7">
        <f>"vt. 重击；用拳头打；砰地撞到"&amp;CHAR(10)&amp;"vi. 重击；狠打；砰然地响"&amp;CHAR(10)&amp;"n. 重打；重击声"</f>
        <v/>
      </c>
      <c r="G1920" s="18">
        <f>HYPERLINK("D:\python\英语学习\voices\"&amp;B1920&amp;"_1.mp3","BrE")</f>
        <v/>
      </c>
      <c r="H1920" s="18">
        <f>HYPERLINK("D:\python\英语学习\voices\"&amp;B1920&amp;"_2.mp3","AmE")</f>
        <v/>
      </c>
      <c r="I1920" s="18">
        <f>HYPERLINK("http://dict.youdao.com/w/"&amp;B1920,"有道")</f>
        <v/>
      </c>
    </row>
    <row customHeight="1" ht="71.25" r="1921">
      <c r="B1921" s="1" t="inlineStr">
        <is>
          <t>thwart</t>
        </is>
      </c>
      <c r="C1921" s="7">
        <f>"vt. 挫败；反对；阻碍；横过"&amp;CHAR(10)&amp;"adj. 横放的；固执的"&amp;CHAR(10)&amp;"n. 划手座；独木舟的横梁"&amp;CHAR(10)&amp;"adv. 横过"&amp;CHAR(10)&amp;"prep. 横过"</f>
        <v/>
      </c>
      <c r="F1921" s="14">
        <f>"While his pale left hand was upon his chest in an attempt to thwart the going of his life, the blood came between his fingers.
他的苍白的左手放在胸前，试图阻止生命消失，血从手指缝中流出。"</f>
        <v/>
      </c>
      <c r="G1921" s="18">
        <f>HYPERLINK("D:\python\英语学习\voices\"&amp;B1921&amp;"_1.mp3","BrE")</f>
        <v/>
      </c>
      <c r="H1921" s="18">
        <f>HYPERLINK("D:\python\英语学习\voices\"&amp;B1921&amp;"_2.mp3","AmE")</f>
        <v/>
      </c>
      <c r="I1921" s="18">
        <f>HYPERLINK("http://dict.youdao.com/w/"&amp;B1921,"有道")</f>
        <v/>
      </c>
    </row>
    <row customHeight="1" ht="57" r="1922">
      <c r="B1922" s="1" t="inlineStr">
        <is>
          <t>tickle</t>
        </is>
      </c>
      <c r="C1922" s="7">
        <f>"vt. 使发痒；使高兴；使满足"&amp;CHAR(10)&amp;"vi. 觉得痒；（东西）使人发痒"&amp;CHAR(10)&amp;"n. 胳肢；痒感；使人发痒、高兴的东西"&amp;CHAR(10)&amp;"n. (Tickle)人名；(英)蒂克尔"</f>
        <v/>
      </c>
      <c r="G1922" s="18">
        <f>HYPERLINK("D:\python\英语学习\voices\"&amp;B1922&amp;"_1.mp3","BrE")</f>
        <v/>
      </c>
      <c r="H1922" s="18">
        <f>HYPERLINK("D:\python\英语学习\voices\"&amp;B1922&amp;"_2.mp3","AmE")</f>
        <v/>
      </c>
      <c r="I1922" s="18">
        <f>HYPERLINK("http://dict.youdao.com/w/"&amp;B1922,"有道")</f>
        <v/>
      </c>
    </row>
    <row customHeight="1" ht="57" r="1923">
      <c r="B1923" s="1" t="inlineStr">
        <is>
          <t>tier</t>
        </is>
      </c>
      <c r="C1923" s="7">
        <f>"n. 层，排；行，列；等级"&amp;CHAR(10)&amp;"vt. 使层叠"&amp;CHAR(10)&amp;"vi. 成递升排列"&amp;CHAR(10)&amp;"n. (Tier)人名；(英)蒂尔"</f>
        <v/>
      </c>
      <c r="G1923" s="18">
        <f>HYPERLINK("D:\python\英语学习\voices\"&amp;B1923&amp;"_1.mp3","BrE")</f>
        <v/>
      </c>
      <c r="H1923" s="18">
        <f>HYPERLINK("D:\python\英语学习\voices\"&amp;B1923&amp;"_2.mp3","AmE")</f>
        <v/>
      </c>
      <c r="I1923" s="18">
        <f>HYPERLINK("http://dict.youdao.com/w/"&amp;B1923,"有道")</f>
        <v/>
      </c>
    </row>
    <row customHeight="1" ht="57" r="1924">
      <c r="B1924" s="1" t="inlineStr">
        <is>
          <t>tilt</t>
        </is>
      </c>
      <c r="C1924" s="7">
        <f>"vi. 倾斜；翘起；以言词或文字抨击"&amp;CHAR(10)&amp;"vt. 使倾斜；使翘起"&amp;CHAR(10)&amp;"n. 倾斜"&amp;CHAR(10)&amp;"n. (Tilt)人名；(英)蒂尔特"</f>
        <v/>
      </c>
      <c r="G1924" s="18">
        <f>HYPERLINK("D:\python\英语学习\voices\"&amp;B1924&amp;"_1.mp3","BrE")</f>
        <v/>
      </c>
      <c r="H1924" s="18">
        <f>HYPERLINK("D:\python\英语学习\voices\"&amp;B1924&amp;"_2.mp3","AmE")</f>
        <v/>
      </c>
      <c r="I1924" s="18">
        <f>HYPERLINK("http://dict.youdao.com/w/"&amp;B1924,"有道")</f>
        <v/>
      </c>
    </row>
    <row customHeight="1" ht="28.5" r="1925">
      <c r="B1925" s="1" t="inlineStr">
        <is>
          <t>timely</t>
        </is>
      </c>
      <c r="C1925" s="7">
        <f>"adj. 及时的；适时的"&amp;CHAR(10)&amp;"adv. 及时地；早"</f>
        <v/>
      </c>
      <c r="G1925" s="18">
        <f>HYPERLINK("D:\python\英语学习\voices\"&amp;B1925&amp;"_1.mp3","BrE")</f>
        <v/>
      </c>
      <c r="H1925" s="18">
        <f>HYPERLINK("D:\python\英语学习\voices\"&amp;B1925&amp;"_2.mp3","AmE")</f>
        <v/>
      </c>
      <c r="I1925" s="18">
        <f>HYPERLINK("http://dict.youdao.com/w/"&amp;B1925,"有道")</f>
        <v/>
      </c>
    </row>
    <row r="1926">
      <c r="B1926" s="1" t="inlineStr">
        <is>
          <t>timid</t>
        </is>
      </c>
      <c r="C1926" s="7">
        <f>"adj. 胆小的；羞怯的"</f>
        <v/>
      </c>
      <c r="G1926" s="18">
        <f>HYPERLINK("D:\python\英语学习\voices\"&amp;B1926&amp;"_1.mp3","BrE")</f>
        <v/>
      </c>
      <c r="H1926" s="18">
        <f>HYPERLINK("D:\python\英语学习\voices\"&amp;B1926&amp;"_2.mp3","AmE")</f>
        <v/>
      </c>
      <c r="I1926" s="18">
        <f>HYPERLINK("http://dict.youdao.com/w/"&amp;B1926,"有道")</f>
        <v/>
      </c>
    </row>
    <row customHeight="1" ht="57" r="1927">
      <c r="B1927" s="1" t="inlineStr">
        <is>
          <t>toast</t>
        </is>
      </c>
      <c r="C1927" s="7">
        <f>"n. 干杯；烤面包；接受敬酒的人；（在某领域）广受赞誉的人"&amp;CHAR(10)&amp;"vt. 向…祝酒，为…干杯"&amp;CHAR(10)&amp;"vi. 烤火，取暖；使暖和；烘烤（面包片等）"</f>
        <v/>
      </c>
      <c r="G1927" s="18">
        <f>HYPERLINK("D:\python\英语学习\voices\"&amp;B1927&amp;"_1.mp3","BrE")</f>
        <v/>
      </c>
      <c r="H1927" s="18">
        <f>HYPERLINK("D:\python\英语学习\voices\"&amp;B1927&amp;"_2.mp3","AmE")</f>
        <v/>
      </c>
      <c r="I1927" s="18">
        <f>HYPERLINK("http://dict.youdao.com/w/"&amp;B1927,"有道")</f>
        <v/>
      </c>
    </row>
    <row r="1928">
      <c r="B1928" s="1" t="inlineStr">
        <is>
          <t>toddler</t>
        </is>
      </c>
      <c r="C1928" s="7">
        <f>"n. 学步的小孩；幼童装"</f>
        <v/>
      </c>
      <c r="G1928" s="18">
        <f>HYPERLINK("D:\python\英语学习\voices\"&amp;B1928&amp;"_1.mp3","BrE")</f>
        <v/>
      </c>
      <c r="H1928" s="18">
        <f>HYPERLINK("D:\python\英语学习\voices\"&amp;B1928&amp;"_2.mp3","AmE")</f>
        <v/>
      </c>
      <c r="I1928" s="18">
        <f>HYPERLINK("http://dict.youdao.com/w/"&amp;B1928,"有道")</f>
        <v/>
      </c>
    </row>
    <row customHeight="1" ht="42.75" r="1929">
      <c r="B1929" s="1" t="inlineStr">
        <is>
          <t>toil</t>
        </is>
      </c>
      <c r="C1929" s="7">
        <f>"n. 辛苦；苦工；网；圈套"&amp;CHAR(10)&amp;"vi. 辛苦工作；艰难地行进"&amp;CHAR(10)&amp;"vt. 费力地做；使…过度劳累"</f>
        <v/>
      </c>
      <c r="G1929" s="18">
        <f>HYPERLINK("D:\python\英语学习\voices\"&amp;B1929&amp;"_1.mp3","BrE")</f>
        <v/>
      </c>
      <c r="H1929" s="18">
        <f>HYPERLINK("D:\python\英语学习\voices\"&amp;B1929&amp;"_2.mp3","AmE")</f>
        <v/>
      </c>
      <c r="I1929" s="18">
        <f>HYPERLINK("http://dict.youdao.com/w/"&amp;B1929,"有道")</f>
        <v/>
      </c>
    </row>
    <row customHeight="1" ht="28.5" r="1930">
      <c r="B1930" s="1" t="inlineStr">
        <is>
          <t>torment</t>
        </is>
      </c>
      <c r="C1930" s="7">
        <f>"vt. 折磨，使痛苦；纠缠，作弄"&amp;CHAR(10)&amp;"n. 痛苦，苦恼；痛苦的根源"</f>
        <v/>
      </c>
      <c r="G1930" s="18">
        <f>HYPERLINK("D:\python\英语学习\voices\"&amp;B1930&amp;"_1.mp3","BrE")</f>
        <v/>
      </c>
      <c r="H1930" s="18">
        <f>HYPERLINK("D:\python\英语学习\voices\"&amp;B1930&amp;"_2.mp3","AmE")</f>
        <v/>
      </c>
      <c r="I1930" s="18">
        <f>HYPERLINK("http://dict.youdao.com/w/"&amp;B1930,"有道")</f>
        <v/>
      </c>
    </row>
    <row customHeight="1" ht="28.5" r="1931">
      <c r="B1931" s="1" t="inlineStr">
        <is>
          <t>torrent</t>
        </is>
      </c>
      <c r="C1931" s="7">
        <f>"n. 奔流；倾注；迸发；连续不断"&amp;CHAR(10)&amp;"n. (Torrent)人名；(法)托朗；(西)托伦特"</f>
        <v/>
      </c>
      <c r="G1931" s="18">
        <f>HYPERLINK("D:\python\英语学习\voices\"&amp;B1931&amp;"_1.mp3","BrE")</f>
        <v/>
      </c>
      <c r="H1931" s="18">
        <f>HYPERLINK("D:\python\英语学习\voices\"&amp;B1931&amp;"_2.mp3","AmE")</f>
        <v/>
      </c>
      <c r="I1931" s="18">
        <f>HYPERLINK("http://dict.youdao.com/w/"&amp;B1931,"有道")</f>
        <v/>
      </c>
    </row>
    <row customHeight="1" ht="57" r="1932">
      <c r="B1932" s="1" t="inlineStr">
        <is>
          <t>tow</t>
        </is>
      </c>
      <c r="C1932" s="7">
        <f>"n. 拖；麻的粗纤维；拖曳所用之绳"&amp;CHAR(10)&amp;"vt. 拖；牵引；曳"&amp;CHAR(10)&amp;"vi. 被拖带；拖行"&amp;CHAR(10)&amp;"n. (Tow)人名；(东南亚国家华语)道"</f>
        <v/>
      </c>
      <c r="G1932" s="18">
        <f>HYPERLINK("D:\python\英语学习\voices\"&amp;B1932&amp;"_1.mp3","BrE")</f>
        <v/>
      </c>
      <c r="H1932" s="18">
        <f>HYPERLINK("D:\python\英语学习\voices\"&amp;B1932&amp;"_2.mp3","AmE")</f>
        <v/>
      </c>
      <c r="I1932" s="18">
        <f>HYPERLINK("http://dict.youdao.com/w/"&amp;B1932,"有道")</f>
        <v/>
      </c>
    </row>
    <row r="1933">
      <c r="B1933" s="1" t="inlineStr">
        <is>
          <t>tradesman</t>
        </is>
      </c>
      <c r="C1933" s="7">
        <f>"n. 商人；（英）店主；零售商；手艺人"</f>
        <v/>
      </c>
      <c r="G1933" s="18">
        <f>HYPERLINK("D:\python\英语学习\voices\"&amp;B1933&amp;"_1.mp3","BrE")</f>
        <v/>
      </c>
      <c r="H1933" s="18">
        <f>HYPERLINK("D:\python\英语学习\voices\"&amp;B1933&amp;"_2.mp3","AmE")</f>
        <v/>
      </c>
      <c r="I1933" s="18">
        <f>HYPERLINK("http://dict.youdao.com/w/"&amp;B1933,"有道")</f>
        <v/>
      </c>
    </row>
    <row r="1934">
      <c r="B1934" s="1" t="inlineStr">
        <is>
          <t>traitor</t>
        </is>
      </c>
      <c r="C1934" s="7">
        <f>"n. 叛徒；卖国贼；背信弃义的人"</f>
        <v/>
      </c>
      <c r="G1934" s="18">
        <f>HYPERLINK("D:\python\英语学习\voices\"&amp;B1934&amp;"_1.mp3","BrE")</f>
        <v/>
      </c>
      <c r="H1934" s="18">
        <f>HYPERLINK("D:\python\英语学习\voices\"&amp;B1934&amp;"_2.mp3","AmE")</f>
        <v/>
      </c>
      <c r="I1934" s="18">
        <f>HYPERLINK("http://dict.youdao.com/w/"&amp;B1934,"有道")</f>
        <v/>
      </c>
    </row>
    <row r="1935">
      <c r="B1935" s="1" t="inlineStr">
        <is>
          <t>trajectory</t>
        </is>
      </c>
      <c r="C1935" s="7">
        <f>"n. [物] 轨道，轨线；[航][军] 弹道"</f>
        <v/>
      </c>
      <c r="G1935" s="18">
        <f>HYPERLINK("D:\python\英语学习\voices\"&amp;B1935&amp;"_1.mp3","BrE")</f>
        <v/>
      </c>
      <c r="H1935" s="18">
        <f>HYPERLINK("D:\python\英语学习\voices\"&amp;B1935&amp;"_2.mp3","AmE")</f>
        <v/>
      </c>
      <c r="I1935" s="18">
        <f>HYPERLINK("http://dict.youdao.com/w/"&amp;B1935,"有道")</f>
        <v/>
      </c>
    </row>
    <row customHeight="1" ht="42.75" r="1936">
      <c r="B1936" s="1" t="inlineStr">
        <is>
          <t>trample</t>
        </is>
      </c>
      <c r="C1936" s="7">
        <f>"vt. 践踏；蔑视，伤害"&amp;CHAR(10)&amp;"vi. 践踏；蔑视，伤害；脚步沉重地走"&amp;CHAR(10)&amp;"n. 蹂躏；践踏声"</f>
        <v/>
      </c>
      <c r="G1936" s="18">
        <f>HYPERLINK("D:\python\英语学习\voices\"&amp;B1936&amp;"_1.mp3","BrE")</f>
        <v/>
      </c>
      <c r="H1936" s="18">
        <f>HYPERLINK("D:\python\英语学习\voices\"&amp;B1936&amp;"_2.mp3","AmE")</f>
        <v/>
      </c>
      <c r="I1936" s="18">
        <f>HYPERLINK("http://dict.youdao.com/w/"&amp;B1936,"有道")</f>
        <v/>
      </c>
    </row>
    <row r="1937">
      <c r="B1937" s="1" t="inlineStr">
        <is>
          <t>tranquil</t>
        </is>
      </c>
      <c r="C1937" s="7">
        <f>"adj. 安静的，平静的；安宁的；稳定的"</f>
        <v/>
      </c>
      <c r="G1937" s="18">
        <f>HYPERLINK("D:\python\英语学习\voices\"&amp;B1937&amp;"_1.mp3","BrE")</f>
        <v/>
      </c>
      <c r="H1937" s="18">
        <f>HYPERLINK("D:\python\英语学习\voices\"&amp;B1937&amp;"_2.mp3","AmE")</f>
        <v/>
      </c>
      <c r="I1937" s="18">
        <f>HYPERLINK("http://dict.youdao.com/w/"&amp;B1937,"有道")</f>
        <v/>
      </c>
    </row>
    <row r="1938">
      <c r="B1938" s="1" t="inlineStr">
        <is>
          <t>transcribe</t>
        </is>
      </c>
      <c r="C1938" s="7">
        <f>"vt. 转录；抄写"</f>
        <v/>
      </c>
      <c r="G1938" s="18">
        <f>HYPERLINK("D:\python\英语学习\voices\"&amp;B1938&amp;"_1.mp3","BrE")</f>
        <v/>
      </c>
      <c r="H1938" s="18">
        <f>HYPERLINK("D:\python\英语学习\voices\"&amp;B1938&amp;"_2.mp3","AmE")</f>
        <v/>
      </c>
      <c r="I1938" s="18">
        <f>HYPERLINK("http://dict.youdao.com/w/"&amp;B1938,"有道")</f>
        <v/>
      </c>
    </row>
    <row customHeight="1" ht="28.5" r="1939">
      <c r="B1939" s="1" t="inlineStr">
        <is>
          <t>transient</t>
        </is>
      </c>
      <c r="C1939" s="7">
        <f>"adj. 短暂的；路过的"&amp;CHAR(10)&amp;"n. 瞬变现象；过往旅客；候鸟"</f>
        <v/>
      </c>
      <c r="E1939" s="6" t="inlineStr">
        <is>
          <t>注意拼写</t>
        </is>
      </c>
      <c r="G1939" s="18">
        <f>HYPERLINK("D:\python\英语学习\voices\"&amp;B1939&amp;"_1.mp3","BrE")</f>
        <v/>
      </c>
      <c r="H1939" s="18">
        <f>HYPERLINK("D:\python\英语学习\voices\"&amp;B1939&amp;"_2.mp3","AmE")</f>
        <v/>
      </c>
      <c r="I1939" s="18">
        <f>HYPERLINK("http://dict.youdao.com/w/"&amp;B1939,"有道")</f>
        <v/>
      </c>
    </row>
    <row customHeight="1" ht="28.5" r="1940">
      <c r="B1940" s="1" t="inlineStr">
        <is>
          <t>transverse</t>
        </is>
      </c>
      <c r="C1940" s="7">
        <f>"adj. 横向的；横断的；贯轴的"&amp;CHAR(10)&amp;"n. 横断面；贯轴；横肌"</f>
        <v/>
      </c>
      <c r="G1940" s="18">
        <f>HYPERLINK("D:\python\英语学习\voices\"&amp;B1940&amp;"_1.mp3","BrE")</f>
        <v/>
      </c>
      <c r="H1940" s="18">
        <f>HYPERLINK("D:\python\英语学习\voices\"&amp;B1940&amp;"_2.mp3","AmE")</f>
        <v/>
      </c>
      <c r="I1940" s="18">
        <f>HYPERLINK("http://dict.youdao.com/w/"&amp;B1940,"有道")</f>
        <v/>
      </c>
    </row>
    <row customHeight="1" ht="85.5" r="1941">
      <c r="B1941" s="1" t="inlineStr">
        <is>
          <t>traverse</t>
        </is>
      </c>
      <c r="C1941" s="7">
        <f>"n. 穿过；横贯；横木"&amp;CHAR(10)&amp;"vt. 穿过；反对；详细研究；在…来回移动"&amp;CHAR(10)&amp;"vi. 横越；旋转；来回移动"&amp;CHAR(10)&amp;"adj. 横贯的"&amp;CHAR(10)&amp;"n. (Traverse)人名；(英)特拉弗斯；(法)特拉韦尔斯"</f>
        <v/>
      </c>
      <c r="G1941" s="18">
        <f>HYPERLINK("D:\python\英语学习\voices\"&amp;B1941&amp;"_1.mp3","BrE")</f>
        <v/>
      </c>
      <c r="H1941" s="18">
        <f>HYPERLINK("D:\python\英语学习\voices\"&amp;B1941&amp;"_2.mp3","AmE")</f>
        <v/>
      </c>
      <c r="I1941" s="18">
        <f>HYPERLINK("http://dict.youdao.com/w/"&amp;B1941,"有道")</f>
        <v/>
      </c>
    </row>
    <row customHeight="1" ht="42.75" r="1942">
      <c r="B1942" s="1" t="inlineStr">
        <is>
          <t>tread</t>
        </is>
      </c>
      <c r="C1942" s="7">
        <f>"n. 踏；胎面；步态；鞋底；踏板；梯级"&amp;CHAR(10)&amp;"vt. 踏；踩；践踏；跳；踩出"&amp;CHAR(10)&amp;"vi. 踏；踩；行走；交尾"</f>
        <v/>
      </c>
      <c r="G1942" s="18">
        <f>HYPERLINK("D:\python\英语学习\voices\"&amp;B1942&amp;"_1.mp3","BrE")</f>
        <v/>
      </c>
      <c r="H1942" s="18">
        <f>HYPERLINK("D:\python\英语学习\voices\"&amp;B1942&amp;"_2.mp3","AmE")</f>
        <v/>
      </c>
      <c r="I1942" s="18">
        <f>HYPERLINK("http://dict.youdao.com/w/"&amp;B1942,"有道")</f>
        <v/>
      </c>
    </row>
    <row r="1943">
      <c r="B1943" s="1" t="inlineStr">
        <is>
          <t>treason</t>
        </is>
      </c>
      <c r="C1943" s="7">
        <f>"n. [法] 叛国罪；不忠"</f>
        <v/>
      </c>
      <c r="G1943" s="18">
        <f>HYPERLINK("D:\python\英语学习\voices\"&amp;B1943&amp;"_1.mp3","BrE")</f>
        <v/>
      </c>
      <c r="H1943" s="18">
        <f>HYPERLINK("D:\python\英语学习\voices\"&amp;B1943&amp;"_2.mp3","AmE")</f>
        <v/>
      </c>
      <c r="I1943" s="18">
        <f>HYPERLINK("http://dict.youdao.com/w/"&amp;B1943,"有道")</f>
        <v/>
      </c>
    </row>
    <row r="1944">
      <c r="B1944" s="1" t="inlineStr">
        <is>
          <t>treasury</t>
        </is>
      </c>
      <c r="C1944" s="7">
        <f>"n. 国库，金库；财政部；宝库"</f>
        <v/>
      </c>
      <c r="G1944" s="18">
        <f>HYPERLINK("D:\python\英语学习\voices\"&amp;B1944&amp;"_1.mp3","BrE")</f>
        <v/>
      </c>
      <c r="H1944" s="18">
        <f>HYPERLINK("D:\python\英语学习\voices\"&amp;B1944&amp;"_2.mp3","AmE")</f>
        <v/>
      </c>
      <c r="I1944" s="18">
        <f>HYPERLINK("http://dict.youdao.com/w/"&amp;B1944,"有道")</f>
        <v/>
      </c>
    </row>
    <row r="1945">
      <c r="B1945" s="1" t="inlineStr">
        <is>
          <t>treaty</t>
        </is>
      </c>
      <c r="C1945" s="7">
        <f>"n. 条约，协议；谈判"</f>
        <v/>
      </c>
      <c r="G1945" s="18">
        <f>HYPERLINK("D:\python\英语学习\voices\"&amp;B1945&amp;"_1.mp3","BrE")</f>
        <v/>
      </c>
      <c r="H1945" s="18">
        <f>HYPERLINK("D:\python\英语学习\voices\"&amp;B1945&amp;"_2.mp3","AmE")</f>
        <v/>
      </c>
      <c r="I1945" s="18">
        <f>HYPERLINK("http://dict.youdao.com/w/"&amp;B1945,"有道")</f>
        <v/>
      </c>
    </row>
    <row customHeight="1" ht="57" r="1946">
      <c r="B1946" s="1" t="inlineStr">
        <is>
          <t>trek</t>
        </is>
      </c>
      <c r="C1946" s="7">
        <f>"n. 艰苦跋涉"&amp;CHAR(10)&amp;"vt. （牛）拉（货车）；搬运"&amp;CHAR(10)&amp;"vi. 艰苦跋涉"&amp;CHAR(10)&amp;"n. (Trek)人名；(阿拉伯)特里克"</f>
        <v/>
      </c>
      <c r="G1946" s="18">
        <f>HYPERLINK("D:\python\英语学习\voices\"&amp;B1946&amp;"_1.mp3","BrE")</f>
        <v/>
      </c>
      <c r="H1946" s="18">
        <f>HYPERLINK("D:\python\英语学习\voices\"&amp;B1946&amp;"_2.mp3","AmE")</f>
        <v/>
      </c>
      <c r="I1946" s="18">
        <f>HYPERLINK("http://dict.youdao.com/w/"&amp;B1946,"有道")</f>
        <v/>
      </c>
    </row>
    <row customHeight="1" ht="57" r="1947">
      <c r="B1947" s="1" t="inlineStr">
        <is>
          <t>trench</t>
        </is>
      </c>
      <c r="C1947" s="7">
        <f>"n. 沟，沟渠；战壕；堑壕"&amp;CHAR(10)&amp;"vt. 掘沟"&amp;CHAR(10)&amp;"vi. 挖战壕；侵害"&amp;CHAR(10)&amp;"n. (Trench)人名；(英、西)特伦奇"</f>
        <v/>
      </c>
      <c r="G1947" s="18">
        <f>HYPERLINK("D:\python\英语学习\voices\"&amp;B1947&amp;"_1.mp3","BrE")</f>
        <v/>
      </c>
      <c r="H1947" s="18">
        <f>HYPERLINK("D:\python\英语学习\voices\"&amp;B1947&amp;"_2.mp3","AmE")</f>
        <v/>
      </c>
      <c r="I1947" s="18">
        <f>HYPERLINK("http://dict.youdao.com/w/"&amp;B1947,"有道")</f>
        <v/>
      </c>
    </row>
    <row customHeight="1" ht="28.5" r="1948">
      <c r="B1948" s="1" t="inlineStr">
        <is>
          <t>trendy</t>
        </is>
      </c>
      <c r="C1948" s="7">
        <f>"adj. 时髦的，流行的"&amp;CHAR(10)&amp;"n. 追求时髦者；新潮人物"</f>
        <v/>
      </c>
      <c r="G1948" s="18">
        <f>HYPERLINK("D:\python\英语学习\voices\"&amp;B1948&amp;"_1.mp3","BrE")</f>
        <v/>
      </c>
      <c r="H1948" s="18">
        <f>HYPERLINK("D:\python\英语学习\voices\"&amp;B1948&amp;"_2.mp3","AmE")</f>
        <v/>
      </c>
      <c r="I1948" s="18">
        <f>HYPERLINK("http://dict.youdao.com/w/"&amp;B1948,"有道")</f>
        <v/>
      </c>
    </row>
    <row customHeight="1" ht="42.75" r="1949">
      <c r="B1949" s="1" t="inlineStr">
        <is>
          <t>trickle</t>
        </is>
      </c>
      <c r="C1949" s="7">
        <f>"vi. 滴；细细地流；慢慢地移动"&amp;CHAR(10)&amp;"vt. 使…滴；使…淌；使…细细地流"&amp;CHAR(10)&amp;"n. 滴，淌；细流"</f>
        <v/>
      </c>
      <c r="G1949" s="18">
        <f>HYPERLINK("D:\python\英语学习\voices\"&amp;B1949&amp;"_1.mp3","BrE")</f>
        <v/>
      </c>
      <c r="H1949" s="18">
        <f>HYPERLINK("D:\python\英语学习\voices\"&amp;B1949&amp;"_2.mp3","AmE")</f>
        <v/>
      </c>
      <c r="I1949" s="18">
        <f>HYPERLINK("http://dict.youdao.com/w/"&amp;B1949,"有道")</f>
        <v/>
      </c>
    </row>
    <row customHeight="1" ht="42.75" r="1950">
      <c r="B1950" s="1" t="inlineStr">
        <is>
          <t>trifle</t>
        </is>
      </c>
      <c r="C1950" s="7">
        <f>"n. 琐事；蛋糕；少量"&amp;CHAR(10)&amp;"vi. 开玩笑；闲混；嘲弄"&amp;CHAR(10)&amp;"vt. 浪费；虚度"</f>
        <v/>
      </c>
      <c r="G1950" s="18">
        <f>HYPERLINK("D:\python\英语学习\voices\"&amp;B1950&amp;"_1.mp3","BrE")</f>
        <v/>
      </c>
      <c r="H1950" s="18">
        <f>HYPERLINK("D:\python\英语学习\voices\"&amp;B1950&amp;"_2.mp3","AmE")</f>
        <v/>
      </c>
      <c r="I1950" s="18">
        <f>HYPERLINK("http://dict.youdao.com/w/"&amp;B1950,"有道")</f>
        <v/>
      </c>
    </row>
    <row customHeight="1" ht="28.5" r="1951">
      <c r="B1951" s="1" t="inlineStr">
        <is>
          <t>trifling</t>
        </is>
      </c>
      <c r="C1951" s="7">
        <f>"adj. 微不足道的；轻浮的"&amp;CHAR(10)&amp;"v. 浪费，闲聊（trifle的现在分词）"</f>
        <v/>
      </c>
      <c r="D1951" s="6" t="inlineStr">
        <is>
          <t>trifle-琐事</t>
        </is>
      </c>
      <c r="G1951" s="18">
        <f>HYPERLINK("D:\python\英语学习\voices\"&amp;B1951&amp;"_1.mp3","BrE")</f>
        <v/>
      </c>
      <c r="H1951" s="18">
        <f>HYPERLINK("D:\python\英语学习\voices\"&amp;B1951&amp;"_2.mp3","AmE")</f>
        <v/>
      </c>
      <c r="I1951" s="18">
        <f>HYPERLINK("http://dict.youdao.com/w/"&amp;B1951,"有道")</f>
        <v/>
      </c>
    </row>
    <row r="1952">
      <c r="A1952" s="1" t="inlineStr">
        <is>
          <t>practice</t>
        </is>
      </c>
      <c r="B1952" s="1" t="inlineStr">
        <is>
          <t>peevish</t>
        </is>
      </c>
      <c r="C1952" s="7">
        <f>"adj. 易怒的，暴躁的；带怒气的；撒娇的"</f>
        <v/>
      </c>
      <c r="G1952" s="18">
        <f>HYPERLINK("D:\python\英语学习\voices\"&amp;B1952&amp;"_1.mp3","BrE")</f>
        <v/>
      </c>
      <c r="H1952" s="18">
        <f>HYPERLINK("D:\python\英语学习\voices\"&amp;B1952&amp;"_2.mp3","AmE")</f>
        <v/>
      </c>
      <c r="I1952" s="18">
        <f>HYPERLINK("http://dict.youdao.com/w/"&amp;B1952,"有道")</f>
        <v/>
      </c>
    </row>
    <row r="1953">
      <c r="B1953" s="1" t="inlineStr">
        <is>
          <t>trivial</t>
        </is>
      </c>
      <c r="C1953" s="7">
        <f>"adj. 不重要的，琐碎的；琐细的"</f>
        <v/>
      </c>
      <c r="G1953" s="18">
        <f>HYPERLINK("D:\python\英语学习\voices\"&amp;B1953&amp;"_1.mp3","BrE")</f>
        <v/>
      </c>
      <c r="H1953" s="18">
        <f>HYPERLINK("D:\python\英语学习\voices\"&amp;B1953&amp;"_2.mp3","AmE")</f>
        <v/>
      </c>
      <c r="I1953" s="18">
        <f>HYPERLINK("http://dict.youdao.com/w/"&amp;B1953,"有道")</f>
        <v/>
      </c>
    </row>
    <row customHeight="1" ht="42.75" r="1954">
      <c r="B1954" s="1" t="inlineStr">
        <is>
          <t>troll</t>
        </is>
      </c>
      <c r="C1954" s="7">
        <f>"vt. 轮唱，使转动；放声高唱；拖饵钓鱼"&amp;CHAR(10)&amp;"vi. 参加轮唱；宏亮地唱；拖饵钓鱼"&amp;CHAR(10)&amp;"n. 轮唱；钓鱼；北欧神话中的巨人"</f>
        <v/>
      </c>
      <c r="G1954" s="18">
        <f>HYPERLINK("D:\python\英语学习\voices\"&amp;B1954&amp;"_1.mp3","BrE")</f>
        <v/>
      </c>
      <c r="H1954" s="18">
        <f>HYPERLINK("D:\python\英语学习\voices\"&amp;B1954&amp;"_2.mp3","AmE")</f>
        <v/>
      </c>
      <c r="I1954" s="18">
        <f>HYPERLINK("http://dict.youdao.com/w/"&amp;B1954,"有道")</f>
        <v/>
      </c>
    </row>
    <row customHeight="1" ht="85.5" r="1955">
      <c r="B1955" s="1" t="inlineStr">
        <is>
          <t>trolley</t>
        </is>
      </c>
      <c r="C1955" s="7">
        <f>"n. 手推车；（美）有轨电车（等于trolley car）；（英）无轨电车（等于trolleybus）；空中吊运车"&amp;CHAR(10)&amp;"vi. 乘电车"&amp;CHAR(10)&amp;"vt. 用手推车运"&amp;CHAR(10)&amp;"n. (Trolley)人名；(英)特罗利"</f>
        <v/>
      </c>
      <c r="G1955" s="18">
        <f>HYPERLINK("D:\python\英语学习\voices\"&amp;B1955&amp;"_1.mp3","BrE")</f>
        <v/>
      </c>
      <c r="H1955" s="18">
        <f>HYPERLINK("D:\python\英语学习\voices\"&amp;B1955&amp;"_2.mp3","AmE")</f>
        <v/>
      </c>
      <c r="I1955" s="18">
        <f>HYPERLINK("http://dict.youdao.com/w/"&amp;B1955,"有道")</f>
        <v/>
      </c>
    </row>
    <row customHeight="1" ht="28.5" r="1956">
      <c r="B1956" s="1" t="inlineStr">
        <is>
          <t>tropic</t>
        </is>
      </c>
      <c r="C1956" s="7">
        <f>"n. 热带；回归线"&amp;CHAR(10)&amp;"adj. 热带的"</f>
        <v/>
      </c>
      <c r="G1956" s="18">
        <f>HYPERLINK("D:\python\英语学习\voices\"&amp;B1956&amp;"_1.mp3","BrE")</f>
        <v/>
      </c>
      <c r="H1956" s="18">
        <f>HYPERLINK("D:\python\英语学习\voices\"&amp;B1956&amp;"_2.mp3","AmE")</f>
        <v/>
      </c>
      <c r="I1956" s="18">
        <f>HYPERLINK("http://dict.youdao.com/w/"&amp;B1956,"有道")</f>
        <v/>
      </c>
    </row>
    <row customHeight="1" ht="71.25" r="1957">
      <c r="B1957" s="1" t="inlineStr">
        <is>
          <t>trot</t>
        </is>
      </c>
      <c r="C1957" s="7">
        <f>"n. （人）慢跑；马小跑的步态；小跑的马蹄声；刚学步的小孩；老太婆；腹泻；（学生作弊用的）译文对照本"&amp;CHAR(10)&amp;"vi. （马）小跑；（人）慢跑；快步走"&amp;CHAR(10)&amp;"vt. 使小跑；使快步走"</f>
        <v/>
      </c>
      <c r="G1957" s="18">
        <f>HYPERLINK("D:\python\英语学习\voices\"&amp;B1957&amp;"_1.mp3","BrE")</f>
        <v/>
      </c>
      <c r="H1957" s="18">
        <f>HYPERLINK("D:\python\英语学习\voices\"&amp;B1957&amp;"_2.mp3","AmE")</f>
        <v/>
      </c>
      <c r="I1957" s="18">
        <f>HYPERLINK("http://dict.youdao.com/w/"&amp;B1957,"有道")</f>
        <v/>
      </c>
    </row>
    <row r="1958">
      <c r="B1958" s="1" t="inlineStr">
        <is>
          <t>troublesome</t>
        </is>
      </c>
      <c r="C1958" s="7">
        <f>"adj. 麻烦的；讨厌的；使人苦恼的"</f>
        <v/>
      </c>
      <c r="G1958" s="18">
        <f>HYPERLINK("D:\python\英语学习\voices\"&amp;B1958&amp;"_1.mp3","BrE")</f>
        <v/>
      </c>
      <c r="H1958" s="18">
        <f>HYPERLINK("D:\python\英语学习\voices\"&amp;B1958&amp;"_2.mp3","AmE")</f>
        <v/>
      </c>
      <c r="I1958" s="18">
        <f>HYPERLINK("http://dict.youdao.com/w/"&amp;B1958,"有道")</f>
        <v/>
      </c>
    </row>
    <row r="1959">
      <c r="B1959" s="1" t="inlineStr">
        <is>
          <t>trough</t>
        </is>
      </c>
      <c r="C1959" s="7">
        <f>"n. 水槽，水槽；低谷期；饲料槽；低气压"</f>
        <v/>
      </c>
      <c r="G1959" s="18">
        <f>HYPERLINK("D:\python\英语学习\voices\"&amp;B1959&amp;"_1.mp3","BrE")</f>
        <v/>
      </c>
      <c r="H1959" s="18">
        <f>HYPERLINK("D:\python\英语学习\voices\"&amp;B1959&amp;"_2.mp3","AmE")</f>
        <v/>
      </c>
      <c r="I1959" s="18">
        <f>HYPERLINK("http://dict.youdao.com/w/"&amp;B1959,"有道")</f>
        <v/>
      </c>
    </row>
    <row customHeight="1" ht="42.75" r="1960">
      <c r="B1960" s="1" t="inlineStr">
        <is>
          <t>troupe</t>
        </is>
      </c>
      <c r="C1960" s="7">
        <f>"n. 剧团；一班；一团"&amp;CHAR(10)&amp;"vi. 巡回演出"&amp;CHAR(10)&amp;"n. (Troupe)人名；(英)特鲁普"</f>
        <v/>
      </c>
      <c r="G1960" s="18">
        <f>HYPERLINK("D:\python\英语学习\voices\"&amp;B1960&amp;"_1.mp3","BrE")</f>
        <v/>
      </c>
      <c r="H1960" s="18">
        <f>HYPERLINK("D:\python\英语学习\voices\"&amp;B1960&amp;"_2.mp3","AmE")</f>
        <v/>
      </c>
      <c r="I1960" s="18">
        <f>HYPERLINK("http://dict.youdao.com/w/"&amp;B1960,"有道")</f>
        <v/>
      </c>
    </row>
    <row customHeight="1" ht="42.75" r="1961">
      <c r="B1961" s="1" t="inlineStr">
        <is>
          <t>trudge</t>
        </is>
      </c>
      <c r="C1961" s="7">
        <f>"vi. 跋涉；步履艰难地走"&amp;CHAR(10)&amp;"vt. 跋涉"&amp;CHAR(10)&amp;"n. 长途跋涉；沉重的步伐"</f>
        <v/>
      </c>
      <c r="G1961" s="18">
        <f>HYPERLINK("D:\python\英语学习\voices\"&amp;B1961&amp;"_1.mp3","BrE")</f>
        <v/>
      </c>
      <c r="H1961" s="18">
        <f>HYPERLINK("D:\python\英语学习\voices\"&amp;B1961&amp;"_2.mp3","AmE")</f>
        <v/>
      </c>
      <c r="I1961" s="18">
        <f>HYPERLINK("http://dict.youdao.com/w/"&amp;B1961,"有道")</f>
        <v/>
      </c>
    </row>
    <row customHeight="1" ht="42.75" r="1962">
      <c r="B1962" s="1" t="inlineStr">
        <is>
          <t>trumpet</t>
        </is>
      </c>
      <c r="C1962" s="7">
        <f>"n. 喇叭；喇叭声"&amp;CHAR(10)&amp;"vt. 吹喇叭；吹嘘"&amp;CHAR(10)&amp;"vi. 吹喇叭；发出喇叭般的声音"</f>
        <v/>
      </c>
      <c r="G1962" s="18">
        <f>HYPERLINK("D:\python\英语学习\voices\"&amp;B1962&amp;"_1.mp3","BrE")</f>
        <v/>
      </c>
      <c r="H1962" s="18">
        <f>HYPERLINK("D:\python\英语学习\voices\"&amp;B1962&amp;"_2.mp3","AmE")</f>
        <v/>
      </c>
      <c r="I1962" s="18">
        <f>HYPERLINK("http://dict.youdao.com/w/"&amp;B1962,"有道")</f>
        <v/>
      </c>
    </row>
    <row customHeight="1" ht="42.75" r="1963">
      <c r="B1963" s="1" t="inlineStr">
        <is>
          <t>tub</t>
        </is>
      </c>
      <c r="C1963" s="7">
        <f>"n. 浴盆；桶"&amp;CHAR(10)&amp;"vt. 把…装入桶；为…洗盆浴"&amp;CHAR(10)&amp;"vi. 洗盆浴；（衣服等）被放在桶里洗"</f>
        <v/>
      </c>
      <c r="G1963" s="18">
        <f>HYPERLINK("D:\python\英语学习\voices\"&amp;B1963&amp;"_1.mp3","BrE")</f>
        <v/>
      </c>
      <c r="H1963" s="18">
        <f>HYPERLINK("D:\python\英语学习\voices\"&amp;B1963&amp;"_2.mp3","AmE")</f>
        <v/>
      </c>
      <c r="I1963" s="18">
        <f>HYPERLINK("http://dict.youdao.com/w/"&amp;B1963,"有道")</f>
        <v/>
      </c>
    </row>
    <row r="1964">
      <c r="B1964" s="1" t="inlineStr">
        <is>
          <t>tuberculosis</t>
        </is>
      </c>
      <c r="C1964" s="7">
        <f>"n. 肺结核；结核病"</f>
        <v/>
      </c>
      <c r="G1964" s="18">
        <f>HYPERLINK("D:\python\英语学习\voices\"&amp;B1964&amp;"_1.mp3","BrE")</f>
        <v/>
      </c>
      <c r="H1964" s="18">
        <f>HYPERLINK("D:\python\英语学习\voices\"&amp;B1964&amp;"_2.mp3","AmE")</f>
        <v/>
      </c>
      <c r="I1964" s="18">
        <f>HYPERLINK("http://dict.youdao.com/w/"&amp;B1964,"有道")</f>
        <v/>
      </c>
    </row>
    <row r="1965">
      <c r="B1965" s="1" t="inlineStr">
        <is>
          <t>tumor</t>
        </is>
      </c>
      <c r="C1965" s="7">
        <f>"n. 肿瘤；肿块；赘生物"</f>
        <v/>
      </c>
      <c r="G1965" s="18">
        <f>HYPERLINK("D:\python\英语学习\voices\"&amp;B1965&amp;"_1.mp3","BrE")</f>
        <v/>
      </c>
      <c r="H1965" s="18">
        <f>HYPERLINK("D:\python\英语学习\voices\"&amp;B1965&amp;"_2.mp3","AmE")</f>
        <v/>
      </c>
      <c r="I1965" s="18">
        <f>HYPERLINK("http://dict.youdao.com/w/"&amp;B1965,"有道")</f>
        <v/>
      </c>
    </row>
    <row r="1966">
      <c r="B1966" s="1" t="inlineStr">
        <is>
          <t>turmoil</t>
        </is>
      </c>
      <c r="C1966" s="7">
        <f>"n. 混乱，骚动"</f>
        <v/>
      </c>
      <c r="E1966" s="6" t="inlineStr">
        <is>
          <t>注意拼写-tur, turbulent</t>
        </is>
      </c>
      <c r="G1966" s="18">
        <f>HYPERLINK("D:\python\英语学习\voices\"&amp;B1966&amp;"_1.mp3","BrE")</f>
        <v/>
      </c>
      <c r="H1966" s="18">
        <f>HYPERLINK("D:\python\英语学习\voices\"&amp;B1966&amp;"_2.mp3","AmE")</f>
        <v/>
      </c>
      <c r="I1966" s="18">
        <f>HYPERLINK("http://dict.youdao.com/w/"&amp;B1966,"有道")</f>
        <v/>
      </c>
    </row>
    <row customHeight="1" ht="28.5" r="1967">
      <c r="A1967" s="8" t="n"/>
      <c r="B1967" s="1" t="inlineStr">
        <is>
          <t>turnout</t>
        </is>
      </c>
      <c r="C1967" s="7">
        <f>"n. 产量；出席者；参加人数；出动；清除；[公路] 岔道"</f>
        <v/>
      </c>
      <c r="G1967" s="18">
        <f>HYPERLINK("D:\python\英语学习\voices\"&amp;B1967&amp;"_1.mp3","BrE")</f>
        <v/>
      </c>
      <c r="H1967" s="18">
        <f>HYPERLINK("D:\python\英语学习\voices\"&amp;B1967&amp;"_2.mp3","AmE")</f>
        <v/>
      </c>
      <c r="I1967" s="18">
        <f>HYPERLINK("http://dict.youdao.com/w/"&amp;B1967,"有道")</f>
        <v/>
      </c>
    </row>
    <row customHeight="1" ht="42.75" r="1968">
      <c r="B1968" s="1" t="inlineStr">
        <is>
          <t>twinkle</t>
        </is>
      </c>
      <c r="C1968" s="7">
        <f>"vi. 闪烁；发亮"&amp;CHAR(10)&amp;"vt. 使闪耀；闪耀"&amp;CHAR(10)&amp;"n. 闪烁"</f>
        <v/>
      </c>
      <c r="G1968" s="18">
        <f>HYPERLINK("D:\python\英语学习\voices\"&amp;B1968&amp;"_1.mp3","BrE")</f>
        <v/>
      </c>
      <c r="H1968" s="18">
        <f>HYPERLINK("D:\python\英语学习\voices\"&amp;B1968&amp;"_2.mp3","AmE")</f>
        <v/>
      </c>
      <c r="I1968" s="18">
        <f>HYPERLINK("http://dict.youdao.com/w/"&amp;B1968,"有道")</f>
        <v/>
      </c>
    </row>
    <row customHeight="1" ht="42.75" r="1969">
      <c r="A1969" s="8" t="n"/>
      <c r="B1969" s="1" t="inlineStr">
        <is>
          <t>twitch</t>
        </is>
      </c>
      <c r="C1969" s="7">
        <f>"n. 抽搐；抽动；痉挛；阵痛"&amp;CHAR(10)&amp;"vi. 抽搐；抽动；阵痛"&amp;CHAR(10)&amp;"vt. 使抽动；攫取；猛拉"</f>
        <v/>
      </c>
      <c r="G1969" s="18">
        <f>HYPERLINK("D:\python\英语学习\voices\"&amp;B1969&amp;"_1.mp3","BrE")</f>
        <v/>
      </c>
      <c r="H1969" s="18">
        <f>HYPERLINK("D:\python\英语学习\voices\"&amp;B1969&amp;"_2.mp3","AmE")</f>
        <v/>
      </c>
      <c r="I1969" s="18">
        <f>HYPERLINK("http://dict.youdao.com/w/"&amp;B1969,"有道")</f>
        <v/>
      </c>
    </row>
    <row r="1970">
      <c r="B1970" s="1" t="inlineStr">
        <is>
          <t>typhoon</t>
        </is>
      </c>
      <c r="C1970" s="7">
        <f>"n. [气象] 台风"</f>
        <v/>
      </c>
      <c r="G1970" s="18">
        <f>HYPERLINK("D:\python\英语学习\voices\"&amp;B1970&amp;"_1.mp3","BrE")</f>
        <v/>
      </c>
      <c r="H1970" s="18">
        <f>HYPERLINK("D:\python\英语学习\voices\"&amp;B1970&amp;"_2.mp3","AmE")</f>
        <v/>
      </c>
      <c r="I1970" s="18">
        <f>HYPERLINK("http://dict.youdao.com/w/"&amp;B1970,"有道")</f>
        <v/>
      </c>
    </row>
    <row customHeight="1" ht="28.5" r="1971">
      <c r="B1971" s="1" t="inlineStr">
        <is>
          <t>tyranny</t>
        </is>
      </c>
      <c r="C1971" s="7">
        <f>"n. 暴政；专横；严酷；残暴的行为（需用复数）"</f>
        <v/>
      </c>
      <c r="G1971" s="18">
        <f>HYPERLINK("D:\python\英语学习\voices\"&amp;B1971&amp;"_1.mp3","BrE")</f>
        <v/>
      </c>
      <c r="H1971" s="18">
        <f>HYPERLINK("D:\python\英语学习\voices\"&amp;B1971&amp;"_2.mp3","AmE")</f>
        <v/>
      </c>
      <c r="I1971" s="18">
        <f>HYPERLINK("http://dict.youdao.com/w/"&amp;B1971,"有道")</f>
        <v/>
      </c>
    </row>
    <row customHeight="1" ht="15" r="1972">
      <c r="A1972" s="1" t="inlineStr">
        <is>
          <t>practice</t>
        </is>
      </c>
      <c r="B1972" s="1" t="inlineStr">
        <is>
          <t>percussion</t>
        </is>
      </c>
      <c r="C1972" s="7">
        <f>"n. [临床] 叩诊；振动；碰撞；敲打乐器；打击乐器组"</f>
        <v/>
      </c>
      <c r="G1972" s="18">
        <f>HYPERLINK("D:\python\英语学习\voices\"&amp;B1972&amp;"_1.mp3","BrE")</f>
        <v/>
      </c>
      <c r="H1972" s="18">
        <f>HYPERLINK("D:\python\英语学习\voices\"&amp;B1972&amp;"_2.mp3","AmE")</f>
        <v/>
      </c>
      <c r="I1972" s="18">
        <f>HYPERLINK("http://dict.youdao.com/w/"&amp;B1972,"有道")</f>
        <v/>
      </c>
    </row>
    <row r="1973">
      <c r="B1973" s="1" t="inlineStr">
        <is>
          <t>ulcer</t>
        </is>
      </c>
      <c r="C1973" s="7">
        <f>"n. [病理] 溃疡；腐烂物；道德败坏"</f>
        <v/>
      </c>
      <c r="G1973" s="18">
        <f>HYPERLINK("D:\python\英语学习\voices\"&amp;B1973&amp;"_1.mp3","BrE")</f>
        <v/>
      </c>
      <c r="H1973" s="18">
        <f>HYPERLINK("D:\python\英语学习\voices\"&amp;B1973&amp;"_2.mp3","AmE")</f>
        <v/>
      </c>
      <c r="I1973" s="18">
        <f>HYPERLINK("http://dict.youdao.com/w/"&amp;B1973,"有道")</f>
        <v/>
      </c>
    </row>
    <row r="1974">
      <c r="B1974" s="1" t="inlineStr">
        <is>
          <t>unanimous</t>
        </is>
      </c>
      <c r="C1974" s="7">
        <f>"adj. 全体一致的；意见一致的；无异议的"</f>
        <v/>
      </c>
      <c r="E1974" s="6" t="inlineStr">
        <is>
          <t>注意发音</t>
        </is>
      </c>
      <c r="G1974" s="18">
        <f>HYPERLINK("D:\python\英语学习\voices\"&amp;B1974&amp;"_1.mp3","BrE")</f>
        <v/>
      </c>
      <c r="H1974" s="18">
        <f>HYPERLINK("D:\python\英语学习\voices\"&amp;B1974&amp;"_2.mp3","AmE")</f>
        <v/>
      </c>
      <c r="I1974" s="18">
        <f>HYPERLINK("http://dict.youdao.com/w/"&amp;B1974,"有道")</f>
        <v/>
      </c>
    </row>
    <row r="1975">
      <c r="B1975" s="1" t="inlineStr">
        <is>
          <t>undergo</t>
        </is>
      </c>
      <c r="C1975" s="7">
        <f>"vt. 经历，经受；忍受"</f>
        <v/>
      </c>
      <c r="G1975" s="18">
        <f>HYPERLINK("D:\python\英语学习\voices\"&amp;B1975&amp;"_1.mp3","BrE")</f>
        <v/>
      </c>
      <c r="H1975" s="18">
        <f>HYPERLINK("D:\python\英语学习\voices\"&amp;B1975&amp;"_2.mp3","AmE")</f>
        <v/>
      </c>
      <c r="I1975" s="18">
        <f>HYPERLINK("http://dict.youdao.com/w/"&amp;B1975,"有道")</f>
        <v/>
      </c>
    </row>
    <row r="1976">
      <c r="B1976" s="1" t="inlineStr">
        <is>
          <t>underlie</t>
        </is>
      </c>
      <c r="C1976" s="7">
        <f>"vt. 成为……的基础；位于……之下"</f>
        <v/>
      </c>
      <c r="G1976" s="18">
        <f>HYPERLINK("D:\python\英语学习\voices\"&amp;B1976&amp;"_1.mp3","BrE")</f>
        <v/>
      </c>
      <c r="H1976" s="18">
        <f>HYPERLINK("D:\python\英语学习\voices\"&amp;B1976&amp;"_2.mp3","AmE")</f>
        <v/>
      </c>
      <c r="I1976" s="18">
        <f>HYPERLINK("http://dict.youdao.com/w/"&amp;B1976,"有道")</f>
        <v/>
      </c>
    </row>
    <row r="1977">
      <c r="B1977" s="1" t="inlineStr">
        <is>
          <t>undermine</t>
        </is>
      </c>
      <c r="C1977" s="7">
        <f>"vt. 破坏，渐渐破坏；挖掘地基"</f>
        <v/>
      </c>
      <c r="G1977" s="18">
        <f>HYPERLINK("D:\python\英语学习\voices\"&amp;B1977&amp;"_1.mp3","BrE")</f>
        <v/>
      </c>
      <c r="H1977" s="18">
        <f>HYPERLINK("D:\python\英语学习\voices\"&amp;B1977&amp;"_2.mp3","AmE")</f>
        <v/>
      </c>
      <c r="I1977" s="18">
        <f>HYPERLINK("http://dict.youdao.com/w/"&amp;B1977,"有道")</f>
        <v/>
      </c>
    </row>
    <row customHeight="1" ht="28.5" r="1978">
      <c r="A1978" s="1" t="inlineStr">
        <is>
          <t>practice</t>
        </is>
      </c>
      <c r="B1978" s="1" t="inlineStr">
        <is>
          <t>perennial</t>
        </is>
      </c>
      <c r="C1978" s="7">
        <f>"adj. 多年生的；常年的；四季不断的；常在的；反复的"&amp;CHAR(10)&amp;"n. 多年生植物"</f>
        <v/>
      </c>
      <c r="E1978" s="6" t="inlineStr">
        <is>
          <t>长期持续的</t>
        </is>
      </c>
      <c r="G1978" s="18">
        <f>HYPERLINK("D:\python\英语学习\voices\"&amp;B1978&amp;"_1.mp3","BrE")</f>
        <v/>
      </c>
      <c r="H1978" s="18">
        <f>HYPERLINK("D:\python\英语学习\voices\"&amp;B1978&amp;"_2.mp3","AmE")</f>
        <v/>
      </c>
      <c r="I1978" s="18">
        <f>HYPERLINK("http://dict.youdao.com/w/"&amp;B1978,"有道")</f>
        <v/>
      </c>
    </row>
    <row customHeight="1" ht="28.5" r="1979">
      <c r="B1979" s="1" t="inlineStr">
        <is>
          <t>undertaking</t>
        </is>
      </c>
      <c r="C1979" s="7">
        <f>"n. 事业；企业；保证；殡仪业"&amp;CHAR(10)&amp;"v. 同意；担任；许诺（undertake的ing形式）"</f>
        <v/>
      </c>
      <c r="G1979" s="18">
        <f>HYPERLINK("D:\python\英语学习\voices\"&amp;B1979&amp;"_1.mp3","BrE")</f>
        <v/>
      </c>
      <c r="H1979" s="18">
        <f>HYPERLINK("D:\python\英语学习\voices\"&amp;B1979&amp;"_2.mp3","AmE")</f>
        <v/>
      </c>
      <c r="I1979" s="18">
        <f>HYPERLINK("http://dict.youdao.com/w/"&amp;B1979,"有道")</f>
        <v/>
      </c>
    </row>
    <row r="1980">
      <c r="B1980" s="1" t="inlineStr">
        <is>
          <t>uneasy</t>
        </is>
      </c>
      <c r="C1980" s="7">
        <f>"adj. 不舒服的；心神不安的；不稳定的"</f>
        <v/>
      </c>
      <c r="G1980" s="18">
        <f>HYPERLINK("D:\python\英语学习\voices\"&amp;B1980&amp;"_1.mp3","BrE")</f>
        <v/>
      </c>
      <c r="H1980" s="18">
        <f>HYPERLINK("D:\python\英语学习\voices\"&amp;B1980&amp;"_2.mp3","AmE")</f>
        <v/>
      </c>
      <c r="I1980" s="18">
        <f>HYPERLINK("http://dict.youdao.com/w/"&amp;B1980,"有道")</f>
        <v/>
      </c>
    </row>
    <row r="1981">
      <c r="B1981" s="1" t="inlineStr">
        <is>
          <t>unintelligible</t>
        </is>
      </c>
      <c r="C1981" s="7">
        <f>"adj. 莫名其妙的；无法了解的"</f>
        <v/>
      </c>
      <c r="G1981" s="18">
        <f>HYPERLINK("D:\python\英语学习\voices\"&amp;B1981&amp;"_1.mp3","BrE")</f>
        <v/>
      </c>
      <c r="H1981" s="18">
        <f>HYPERLINK("D:\python\英语学习\voices\"&amp;B1981&amp;"_2.mp3","AmE")</f>
        <v/>
      </c>
      <c r="I1981" s="18">
        <f>HYPERLINK("http://dict.youdao.com/w/"&amp;B1981,"有道")</f>
        <v/>
      </c>
    </row>
    <row customHeight="1" ht="28.5" r="1982">
      <c r="B1982" s="1" t="inlineStr">
        <is>
          <t>unlock</t>
        </is>
      </c>
      <c r="C1982" s="7">
        <f>"vt. 开启；开…的锁；表露"&amp;CHAR(10)&amp;"vi. 解开；解除锁定；被开启"</f>
        <v/>
      </c>
      <c r="G1982" s="18">
        <f>HYPERLINK("D:\python\英语学习\voices\"&amp;B1982&amp;"_1.mp3","BrE")</f>
        <v/>
      </c>
      <c r="H1982" s="18">
        <f>HYPERLINK("D:\python\英语学习\voices\"&amp;B1982&amp;"_2.mp3","AmE")</f>
        <v/>
      </c>
      <c r="I1982" s="18">
        <f>HYPERLINK("http://dict.youdao.com/w/"&amp;B1982,"有道")</f>
        <v/>
      </c>
    </row>
    <row r="1983">
      <c r="B1983" s="1" t="inlineStr">
        <is>
          <t>unruly</t>
        </is>
      </c>
      <c r="C1983" s="7">
        <f>"adj. 不守规矩的；任性的；难驾驭的"</f>
        <v/>
      </c>
      <c r="G1983" s="18">
        <f>HYPERLINK("D:\python\英语学习\voices\"&amp;B1983&amp;"_1.mp3","BrE")</f>
        <v/>
      </c>
      <c r="H1983" s="18">
        <f>HYPERLINK("D:\python\英语学习\voices\"&amp;B1983&amp;"_2.mp3","AmE")</f>
        <v/>
      </c>
      <c r="I1983" s="18">
        <f>HYPERLINK("http://dict.youdao.com/w/"&amp;B1983,"有道")</f>
        <v/>
      </c>
    </row>
    <row r="1984">
      <c r="B1984" s="1" t="inlineStr">
        <is>
          <t>unwanted</t>
        </is>
      </c>
      <c r="C1984" s="7">
        <f>"adj. 不需要的；有害的；讨厌的；空闲的"</f>
        <v/>
      </c>
      <c r="G1984" s="18">
        <f>HYPERLINK("D:\python\英语学习\voices\"&amp;B1984&amp;"_1.mp3","BrE")</f>
        <v/>
      </c>
      <c r="H1984" s="18">
        <f>HYPERLINK("D:\python\英语学习\voices\"&amp;B1984&amp;"_2.mp3","AmE")</f>
        <v/>
      </c>
      <c r="I1984" s="18">
        <f>HYPERLINK("http://dict.youdao.com/w/"&amp;B1984,"有道")</f>
        <v/>
      </c>
    </row>
    <row r="1985">
      <c r="B1985" s="1" t="inlineStr">
        <is>
          <t>uphold</t>
        </is>
      </c>
      <c r="C1985" s="7">
        <f>"vt. 支撑；鼓励；赞成；举起"</f>
        <v/>
      </c>
      <c r="G1985" s="18">
        <f>HYPERLINK("D:\python\英语学习\voices\"&amp;B1985&amp;"_1.mp3","BrE")</f>
        <v/>
      </c>
      <c r="H1985" s="18">
        <f>HYPERLINK("D:\python\英语学习\voices\"&amp;B1985&amp;"_2.mp3","AmE")</f>
        <v/>
      </c>
      <c r="I1985" s="18">
        <f>HYPERLINK("http://dict.youdao.com/w/"&amp;B1985,"有道")</f>
        <v/>
      </c>
    </row>
    <row customHeight="1" ht="28.5" r="1986">
      <c r="B1986" s="1" t="inlineStr">
        <is>
          <t>uprise</t>
        </is>
      </c>
      <c r="C1986" s="7">
        <f>"vi. 起义；上升；起床"&amp;CHAR(10)&amp;"n. 升起；上坡；出现"</f>
        <v/>
      </c>
      <c r="G1986" s="18">
        <f>HYPERLINK("D:\python\英语学习\voices\"&amp;B1986&amp;"_1.mp3","BrE")</f>
        <v/>
      </c>
      <c r="H1986" s="18">
        <f>HYPERLINK("D:\python\英语学习\voices\"&amp;B1986&amp;"_2.mp3","AmE")</f>
        <v/>
      </c>
      <c r="I1986" s="18">
        <f>HYPERLINK("http://dict.youdao.com/w/"&amp;B1986,"有道")</f>
        <v/>
      </c>
    </row>
    <row r="1987">
      <c r="B1987" s="1" t="inlineStr">
        <is>
          <t>uproar</t>
        </is>
      </c>
      <c r="C1987" s="7">
        <f>"n. 骚动；喧嚣"</f>
        <v/>
      </c>
      <c r="G1987" s="18">
        <f>HYPERLINK("D:\python\英语学习\voices\"&amp;B1987&amp;"_1.mp3","BrE")</f>
        <v/>
      </c>
      <c r="H1987" s="18">
        <f>HYPERLINK("D:\python\英语学习\voices\"&amp;B1987&amp;"_2.mp3","AmE")</f>
        <v/>
      </c>
      <c r="I1987" s="18">
        <f>HYPERLINK("http://dict.youdao.com/w/"&amp;B1987,"有道")</f>
        <v/>
      </c>
    </row>
    <row customHeight="1" ht="42.75" r="1988">
      <c r="B1988" s="1" t="inlineStr">
        <is>
          <t>upstream</t>
        </is>
      </c>
      <c r="C1988" s="7">
        <f>"adv. 逆流地；向上游"&amp;CHAR(10)&amp;"adj. 向上游的；逆流而上的"&amp;CHAR(10)&amp;"n. 上游部门"</f>
        <v/>
      </c>
      <c r="G1988" s="18">
        <f>HYPERLINK("D:\python\英语学习\voices\"&amp;B1988&amp;"_1.mp3","BrE")</f>
        <v/>
      </c>
      <c r="H1988" s="18">
        <f>HYPERLINK("D:\python\英语学习\voices\"&amp;B1988&amp;"_2.mp3","AmE")</f>
        <v/>
      </c>
      <c r="I1988" s="18">
        <f>HYPERLINK("http://dict.youdao.com/w/"&amp;B1988,"有道")</f>
        <v/>
      </c>
    </row>
    <row r="1989">
      <c r="B1989" s="1" t="inlineStr">
        <is>
          <t>uptake</t>
        </is>
      </c>
      <c r="C1989" s="7">
        <f>"n. 摄取；领会；举起"</f>
        <v/>
      </c>
      <c r="F1989" s="14">
        <f>"You say that someone is quick on the uptake when they understand things quickly. "</f>
        <v/>
      </c>
      <c r="G1989" s="18">
        <f>HYPERLINK("D:\python\英语学习\voices\"&amp;B1989&amp;"_1.mp3","BrE")</f>
        <v/>
      </c>
      <c r="H1989" s="18">
        <f>HYPERLINK("D:\python\英语学习\voices\"&amp;B1989&amp;"_2.mp3","AmE")</f>
        <v/>
      </c>
      <c r="I1989" s="18">
        <f>HYPERLINK("http://dict.youdao.com/w/"&amp;B1989,"有道")</f>
        <v/>
      </c>
    </row>
    <row r="1990">
      <c r="B1990" s="1" t="inlineStr">
        <is>
          <t>urchin</t>
        </is>
      </c>
      <c r="C1990" s="7">
        <f>"n. 顽童，淘气鬼；海胆；刺猬"</f>
        <v/>
      </c>
      <c r="G1990" s="18">
        <f>HYPERLINK("D:\python\英语学习\voices\"&amp;B1990&amp;"_1.mp3","BrE")</f>
        <v/>
      </c>
      <c r="H1990" s="18">
        <f>HYPERLINK("D:\python\英语学习\voices\"&amp;B1990&amp;"_2.mp3","AmE")</f>
        <v/>
      </c>
      <c r="I1990" s="18">
        <f>HYPERLINK("http://dict.youdao.com/w/"&amp;B1990,"有道")</f>
        <v/>
      </c>
    </row>
    <row customHeight="1" ht="57" r="1991">
      <c r="B1991" s="1" t="inlineStr">
        <is>
          <t>usher</t>
        </is>
      </c>
      <c r="C1991" s="7">
        <f>"n. 引座员，带位员；接待员；门房"&amp;CHAR(10)&amp;"vt. 引导，招待；迎接；开辟"&amp;CHAR(10)&amp;"vi. 作招待员；当引座员"&amp;CHAR(10)&amp;"n. (Usher)人名；(英)厄舍；(西、科特)乌谢尔"</f>
        <v/>
      </c>
      <c r="E1991" s="6" t="inlineStr">
        <is>
          <t>usher in 预告，宣告xx的到来</t>
        </is>
      </c>
      <c r="G1991" s="18">
        <f>HYPERLINK("D:\python\英语学习\voices\"&amp;B1991&amp;"_1.mp3","BrE")</f>
        <v/>
      </c>
      <c r="H1991" s="18">
        <f>HYPERLINK("D:\python\英语学习\voices\"&amp;B1991&amp;"_2.mp3","AmE")</f>
        <v/>
      </c>
      <c r="I1991" s="18">
        <f>HYPERLINK("http://dict.youdao.com/w/"&amp;B1991,"有道")</f>
        <v/>
      </c>
    </row>
    <row r="1992">
      <c r="B1992" s="1" t="inlineStr">
        <is>
          <t>utensil</t>
        </is>
      </c>
      <c r="C1992" s="7">
        <f>"n. 用具，器皿"</f>
        <v/>
      </c>
      <c r="E1992" s="6" t="inlineStr">
        <is>
          <t>cooking utensils炊具</t>
        </is>
      </c>
      <c r="G1992" s="18">
        <f>HYPERLINK("D:\python\英语学习\voices\"&amp;B1992&amp;"_1.mp3","BrE")</f>
        <v/>
      </c>
      <c r="H1992" s="18">
        <f>HYPERLINK("D:\python\英语学习\voices\"&amp;B1992&amp;"_2.mp3","AmE")</f>
        <v/>
      </c>
      <c r="I1992" s="18">
        <f>HYPERLINK("http://dict.youdao.com/w/"&amp;B1992,"有道")</f>
        <v/>
      </c>
    </row>
    <row customHeight="1" ht="28.5" r="1993">
      <c r="B1993" s="1" t="inlineStr">
        <is>
          <t>utmost</t>
        </is>
      </c>
      <c r="C1993" s="7">
        <f>"n. 极限；最大可能"&amp;CHAR(10)&amp;"adj. 极度的；最远的"</f>
        <v/>
      </c>
      <c r="G1993" s="18">
        <f>HYPERLINK("D:\python\英语学习\voices\"&amp;B1993&amp;"_1.mp3","BrE")</f>
        <v/>
      </c>
      <c r="H1993" s="18">
        <f>HYPERLINK("D:\python\英语学习\voices\"&amp;B1993&amp;"_2.mp3","AmE")</f>
        <v/>
      </c>
      <c r="I1993" s="18">
        <f>HYPERLINK("http://dict.youdao.com/w/"&amp;B1993,"有道")</f>
        <v/>
      </c>
    </row>
    <row customHeight="1" ht="42.75" r="1994">
      <c r="B1994" s="1" t="inlineStr">
        <is>
          <t>utter</t>
        </is>
      </c>
      <c r="C1994" s="7">
        <f>"vt. 发出，表达；发射"&amp;CHAR(10)&amp;"adj. 完全的；彻底的；无条件的"&amp;CHAR(10)&amp;"n. (Utter)人名；(德、芬)乌特"</f>
        <v/>
      </c>
      <c r="E1994" s="6" t="inlineStr">
        <is>
          <t>好多意思-形容词</t>
        </is>
      </c>
      <c r="G1994" s="18">
        <f>HYPERLINK("D:\python\英语学习\voices\"&amp;B1994&amp;"_1.mp3","BrE")</f>
        <v/>
      </c>
      <c r="H1994" s="18">
        <f>HYPERLINK("D:\python\英语学习\voices\"&amp;B1994&amp;"_2.mp3","AmE")</f>
        <v/>
      </c>
      <c r="I1994" s="18">
        <f>HYPERLINK("http://dict.youdao.com/w/"&amp;B1994,"有道")</f>
        <v/>
      </c>
    </row>
    <row r="1995">
      <c r="B1995" s="1" t="inlineStr">
        <is>
          <t>utterance</t>
        </is>
      </c>
      <c r="C1995" s="7">
        <f>"n. 表达；说话；说话方式"</f>
        <v/>
      </c>
      <c r="G1995" s="18">
        <f>HYPERLINK("D:\python\英语学习\voices\"&amp;B1995&amp;"_1.mp3","BrE")</f>
        <v/>
      </c>
      <c r="H1995" s="18">
        <f>HYPERLINK("D:\python\英语学习\voices\"&amp;B1995&amp;"_2.mp3","AmE")</f>
        <v/>
      </c>
      <c r="I1995" s="18">
        <f>HYPERLINK("http://dict.youdao.com/w/"&amp;B1995,"有道")</f>
        <v/>
      </c>
    </row>
    <row r="1996">
      <c r="B1996" s="1" t="inlineStr">
        <is>
          <t>vacancy</t>
        </is>
      </c>
      <c r="C1996" s="7">
        <f>"n. 空缺；空位；空白；空虚"</f>
        <v/>
      </c>
      <c r="G1996" s="18">
        <f>HYPERLINK("D:\python\英语学习\voices\"&amp;B1996&amp;"_1.mp3","BrE")</f>
        <v/>
      </c>
      <c r="H1996" s="18">
        <f>HYPERLINK("D:\python\英语学习\voices\"&amp;B1996&amp;"_2.mp3","AmE")</f>
        <v/>
      </c>
      <c r="I1996" s="18">
        <f>HYPERLINK("http://dict.youdao.com/w/"&amp;B1996,"有道")</f>
        <v/>
      </c>
    </row>
    <row customHeight="1" ht="28.5" r="1997">
      <c r="B1997" s="1" t="inlineStr">
        <is>
          <t>vacant</t>
        </is>
      </c>
      <c r="C1997" s="7">
        <f>"adj. 空虚的；空的；空缺的；空闲的；茫然的"&amp;CHAR(10)&amp;"n. (Vacant)人名；(法)瓦康"</f>
        <v/>
      </c>
      <c r="G1997" s="18">
        <f>HYPERLINK("D:\python\英语学习\voices\"&amp;B1997&amp;"_1.mp3","BrE")</f>
        <v/>
      </c>
      <c r="H1997" s="18">
        <f>HYPERLINK("D:\python\英语学习\voices\"&amp;B1997&amp;"_2.mp3","AmE")</f>
        <v/>
      </c>
      <c r="I1997" s="18">
        <f>HYPERLINK("http://dict.youdao.com/w/"&amp;B1997,"有道")</f>
        <v/>
      </c>
    </row>
    <row customHeight="1" ht="28.5" r="1998">
      <c r="B1998" s="1" t="inlineStr">
        <is>
          <t>vague</t>
        </is>
      </c>
      <c r="C1998" s="7">
        <f>"adj. 模糊的；含糊的；不明确的；暧昧的"&amp;CHAR(10)&amp;"n. (Vague)人名；(法)瓦格；(英)韦格"</f>
        <v/>
      </c>
      <c r="G1998" s="18">
        <f>HYPERLINK("D:\python\英语学习\voices\"&amp;B1998&amp;"_1.mp3","BrE")</f>
        <v/>
      </c>
      <c r="H1998" s="18">
        <f>HYPERLINK("D:\python\英语学习\voices\"&amp;B1998&amp;"_2.mp3","AmE")</f>
        <v/>
      </c>
      <c r="I1998" s="18">
        <f>HYPERLINK("http://dict.youdao.com/w/"&amp;B1998,"有道")</f>
        <v/>
      </c>
    </row>
    <row customHeight="1" ht="42.75" r="1999">
      <c r="B1999" s="1" t="inlineStr">
        <is>
          <t>valve</t>
        </is>
      </c>
      <c r="C1999" s="7">
        <f>"n. 阀；[解剖] 瓣膜；真空管；活门"&amp;CHAR(10)&amp;"vt. 装阀于；以活门调节"&amp;CHAR(10)&amp;"n. (Valve)人名；(俄、芬)瓦尔韦"</f>
        <v/>
      </c>
      <c r="G1999" s="18">
        <f>HYPERLINK("D:\python\英语学习\voices\"&amp;B1999&amp;"_1.mp3","BrE")</f>
        <v/>
      </c>
      <c r="H1999" s="18">
        <f>HYPERLINK("D:\python\英语学习\voices\"&amp;B1999&amp;"_2.mp3","AmE")</f>
        <v/>
      </c>
      <c r="I1999" s="18">
        <f>HYPERLINK("http://dict.youdao.com/w/"&amp;B1999,"有道")</f>
        <v/>
      </c>
    </row>
    <row r="2000">
      <c r="B2000" s="1" t="inlineStr">
        <is>
          <t>vanity</t>
        </is>
      </c>
      <c r="C2000" s="7">
        <f>"n. 虚荣心；空虚；浮华；无价值的东西"</f>
        <v/>
      </c>
      <c r="G2000" s="18">
        <f>HYPERLINK("D:\python\英语学习\voices\"&amp;B2000&amp;"_1.mp3","BrE")</f>
        <v/>
      </c>
      <c r="H2000" s="18">
        <f>HYPERLINK("D:\python\英语学习\voices\"&amp;B2000&amp;"_2.mp3","AmE")</f>
        <v/>
      </c>
      <c r="I2000" s="18">
        <f>HYPERLINK("http://dict.youdao.com/w/"&amp;B2000,"有道")</f>
        <v/>
      </c>
    </row>
    <row customHeight="1" ht="28.5" r="2001">
      <c r="B2001" s="1" t="inlineStr">
        <is>
          <t>variant</t>
        </is>
      </c>
      <c r="C2001" s="7">
        <f>"adj. 不同的；多样的"&amp;CHAR(10)&amp;"n. 变体；转化"</f>
        <v/>
      </c>
      <c r="G2001" s="18">
        <f>HYPERLINK("D:\python\英语学习\voices\"&amp;B2001&amp;"_1.mp3","BrE")</f>
        <v/>
      </c>
      <c r="H2001" s="18">
        <f>HYPERLINK("D:\python\英语学习\voices\"&amp;B2001&amp;"_2.mp3","AmE")</f>
        <v/>
      </c>
      <c r="I2001" s="18">
        <f>HYPERLINK("http://dict.youdao.com/w/"&amp;B2001,"有道")</f>
        <v/>
      </c>
    </row>
    <row r="2002">
      <c r="B2002" s="1" t="inlineStr">
        <is>
          <t>ventilate</t>
        </is>
      </c>
      <c r="C2002" s="7">
        <f>"vt. 使通风；给…装通风设备；宣布"</f>
        <v/>
      </c>
      <c r="G2002" s="18">
        <f>HYPERLINK("D:\python\英语学习\voices\"&amp;B2002&amp;"_1.mp3","BrE")</f>
        <v/>
      </c>
      <c r="H2002" s="18">
        <f>HYPERLINK("D:\python\英语学习\voices\"&amp;B2002&amp;"_2.mp3","AmE")</f>
        <v/>
      </c>
      <c r="I2002" s="18">
        <f>HYPERLINK("http://dict.youdao.com/w/"&amp;B2002,"有道")</f>
        <v/>
      </c>
    </row>
    <row r="2003">
      <c r="B2003" s="1" t="inlineStr">
        <is>
          <t>ventilation</t>
        </is>
      </c>
      <c r="C2003" s="7">
        <f>"n. 通风设备；空气流通"</f>
        <v/>
      </c>
      <c r="G2003" s="18">
        <f>HYPERLINK("D:\python\英语学习\voices\"&amp;B2003&amp;"_1.mp3","BrE")</f>
        <v/>
      </c>
      <c r="H2003" s="18">
        <f>HYPERLINK("D:\python\英语学习\voices\"&amp;B2003&amp;"_2.mp3","AmE")</f>
        <v/>
      </c>
      <c r="I2003" s="18">
        <f>HYPERLINK("http://dict.youdao.com/w/"&amp;B2003,"有道")</f>
        <v/>
      </c>
    </row>
    <row customHeight="1" ht="29.1" r="2004">
      <c r="B2004" s="1" t="inlineStr">
        <is>
          <t>versatile</t>
        </is>
      </c>
      <c r="C2004" s="7">
        <f>"adj. 多才多艺的；通用的，万能的；多面手的"</f>
        <v/>
      </c>
      <c r="E2004" t="inlineStr">
        <is>
          <t>注意发音-US tl UK tile</t>
        </is>
      </c>
      <c r="G2004" s="18">
        <f>HYPERLINK("D:\python\英语学习\voices\"&amp;B2004&amp;"_1.mp3","BrE")</f>
        <v/>
      </c>
      <c r="H2004" s="18">
        <f>HYPERLINK("D:\python\英语学习\voices\"&amp;B2004&amp;"_2.mp3","AmE")</f>
        <v/>
      </c>
      <c r="I2004" s="18">
        <f>HYPERLINK("http://dict.youdao.com/w/"&amp;B2004,"有道")</f>
        <v/>
      </c>
    </row>
    <row customHeight="1" ht="28.5" r="2005">
      <c r="A2005" s="1" t="inlineStr">
        <is>
          <t>practice</t>
        </is>
      </c>
      <c r="B2005" s="1" t="inlineStr">
        <is>
          <t>peril</t>
        </is>
      </c>
      <c r="C2005" s="7">
        <f>"n. 危险；冒险"&amp;CHAR(10)&amp;"vt. 危及；置…于险境"</f>
        <v/>
      </c>
      <c r="G2005" s="18">
        <f>HYPERLINK("D:\python\英语学习\voices\"&amp;B2005&amp;"_1.mp3","BrE")</f>
        <v/>
      </c>
      <c r="H2005" s="18">
        <f>HYPERLINK("D:\python\英语学习\voices\"&amp;B2005&amp;"_2.mp3","AmE")</f>
        <v/>
      </c>
      <c r="I2005" s="18">
        <f>HYPERLINK("http://dict.youdao.com/w/"&amp;B2005,"有道")</f>
        <v/>
      </c>
    </row>
    <row r="2006">
      <c r="B2006" s="1" t="inlineStr">
        <is>
          <t>vesicle</t>
        </is>
      </c>
      <c r="C2006" s="7">
        <f>"n. 泡，囊；[医] 水疱"</f>
        <v/>
      </c>
      <c r="G2006" s="18">
        <f>HYPERLINK("D:\python\英语学习\voices\"&amp;B2006&amp;"_1.mp3","BrE")</f>
        <v/>
      </c>
      <c r="H2006" s="18">
        <f>HYPERLINK("D:\python\英语学习\voices\"&amp;B2006&amp;"_2.mp3","AmE")</f>
        <v/>
      </c>
      <c r="I2006" s="18">
        <f>HYPERLINK("http://dict.youdao.com/w/"&amp;B2006,"有道")</f>
        <v/>
      </c>
    </row>
    <row customHeight="1" ht="42.75" r="2007">
      <c r="B2007" s="1" t="inlineStr">
        <is>
          <t>vessel</t>
        </is>
      </c>
      <c r="C2007" s="7">
        <f>"n. 船，舰；[组织] 脉管，血管；容器，器皿"&amp;CHAR(10)&amp;"n. (Vessel)人名；(荷)费塞尔；(俄、意、捷)韦塞尔"</f>
        <v/>
      </c>
      <c r="G2007" s="18">
        <f>HYPERLINK("D:\python\英语学习\voices\"&amp;B2007&amp;"_1.mp3","BrE")</f>
        <v/>
      </c>
      <c r="H2007" s="18">
        <f>HYPERLINK("D:\python\英语学习\voices\"&amp;B2007&amp;"_2.mp3","AmE")</f>
        <v/>
      </c>
      <c r="I2007" s="18">
        <f>HYPERLINK("http://dict.youdao.com/w/"&amp;B2007,"有道")</f>
        <v/>
      </c>
    </row>
    <row customHeight="1" ht="57" r="2008">
      <c r="B2008" s="1" t="inlineStr">
        <is>
          <t>vest</t>
        </is>
      </c>
      <c r="C2008" s="7">
        <f>"n. 背心；汗衫"&amp;CHAR(10)&amp;"vt. 授予；使穿衣"&amp;CHAR(10)&amp;"vi. 归属；穿衣服"&amp;CHAR(10)&amp;"n. (Vest)人名；(英)维斯特；(匈)韦什特"</f>
        <v/>
      </c>
      <c r="E2008" s="6" t="inlineStr">
        <is>
          <t>好多意思</t>
        </is>
      </c>
      <c r="G2008" s="18">
        <f>HYPERLINK("D:\python\英语学习\voices\"&amp;B2008&amp;"_1.mp3","BrE")</f>
        <v/>
      </c>
      <c r="H2008" s="18">
        <f>HYPERLINK("D:\python\英语学习\voices\"&amp;B2008&amp;"_2.mp3","AmE")</f>
        <v/>
      </c>
      <c r="I2008" s="18">
        <f>HYPERLINK("http://dict.youdao.com/w/"&amp;B2008,"有道")</f>
        <v/>
      </c>
    </row>
    <row customHeight="1" ht="42.75" r="2009">
      <c r="A2009" t="inlineStr">
        <is>
          <t>practice</t>
        </is>
      </c>
      <c r="B2009" s="1" t="inlineStr">
        <is>
          <t>peripheral</t>
        </is>
      </c>
      <c r="C2009" s="7">
        <f>"adj. 外围的；次要的；（神经）末梢区域的"&amp;CHAR(10)&amp;"n. 外部设备"</f>
        <v/>
      </c>
      <c r="G2009" s="18">
        <f>HYPERLINK("D:\python\英语学习\voices\"&amp;B2009&amp;"_1.mp3","BrE")</f>
        <v/>
      </c>
      <c r="H2009" s="18">
        <f>HYPERLINK("D:\python\英语学习\voices\"&amp;B2009&amp;"_2.mp3","AmE")</f>
        <v/>
      </c>
      <c r="I2009" s="18">
        <f>HYPERLINK("http://dict.youdao.com/w/"&amp;B2009,"有道")</f>
        <v/>
      </c>
    </row>
    <row r="2010">
      <c r="B2010" s="1" t="inlineStr">
        <is>
          <t>viable</t>
        </is>
      </c>
      <c r="C2010" s="7">
        <f>"adj. 可行的；能养活的；能生育的"</f>
        <v/>
      </c>
      <c r="G2010" s="18">
        <f>HYPERLINK("D:\python\英语学习\voices\"&amp;B2010&amp;"_1.mp3","BrE")</f>
        <v/>
      </c>
      <c r="H2010" s="18">
        <f>HYPERLINK("D:\python\英语学习\voices\"&amp;B2010&amp;"_2.mp3","AmE")</f>
        <v/>
      </c>
      <c r="I2010" s="18">
        <f>HYPERLINK("http://dict.youdao.com/w/"&amp;B2010,"有道")</f>
        <v/>
      </c>
    </row>
    <row customHeight="1" ht="71.25" r="2011">
      <c r="B2011" s="1" t="inlineStr">
        <is>
          <t>vice</t>
        </is>
      </c>
      <c r="C2011" s="7">
        <f>"n. 恶习；缺点；[机] 老虎钳；卖淫"&amp;CHAR(10)&amp;"prep. 代替"&amp;CHAR(10)&amp;"vt. 钳住"&amp;CHAR(10)&amp;"adj. 副的；代替的"&amp;CHAR(10)&amp;"n. (Vice)人名；(塞)维采"</f>
        <v/>
      </c>
      <c r="G2011" s="18">
        <f>HYPERLINK("D:\python\英语学习\voices\"&amp;B2011&amp;"_1.mp3","BrE")</f>
        <v/>
      </c>
      <c r="H2011" s="18">
        <f>HYPERLINK("D:\python\英语学习\voices\"&amp;B2011&amp;"_2.mp3","AmE")</f>
        <v/>
      </c>
      <c r="I2011" s="18">
        <f>HYPERLINK("http://dict.youdao.com/w/"&amp;B2011,"有道")</f>
        <v/>
      </c>
    </row>
    <row r="2012">
      <c r="B2012" s="1" t="inlineStr">
        <is>
          <t>vicinity</t>
        </is>
      </c>
      <c r="C2012" s="7">
        <f>"n. 邻近，附近；近处"</f>
        <v/>
      </c>
      <c r="E2012" t="inlineStr">
        <is>
          <t>注意拼写-vi没有n
in the vicinity/neighborhood在附近</t>
        </is>
      </c>
      <c r="G2012" s="18">
        <f>HYPERLINK("D:\python\英语学习\voices\"&amp;B2012&amp;"_1.mp3","BrE")</f>
        <v/>
      </c>
      <c r="H2012" s="18">
        <f>HYPERLINK("D:\python\英语学习\voices\"&amp;B2012&amp;"_2.mp3","AmE")</f>
        <v/>
      </c>
      <c r="I2012" s="18">
        <f>HYPERLINK("http://dict.youdao.com/w/"&amp;B2012,"有道")</f>
        <v/>
      </c>
    </row>
    <row customHeight="1" ht="28.5" r="2013">
      <c r="B2013" s="1" t="inlineStr">
        <is>
          <t>vigor</t>
        </is>
      </c>
      <c r="C2013" s="7">
        <f>"n. [生物] 活力，精力"&amp;CHAR(10)&amp;"n. (Vigor)人名；(英、法)维戈尔"</f>
        <v/>
      </c>
      <c r="G2013" s="18">
        <f>HYPERLINK("D:\python\英语学习\voices\"&amp;B2013&amp;"_1.mp3","BrE")</f>
        <v/>
      </c>
      <c r="H2013" s="18">
        <f>HYPERLINK("D:\python\英语学习\voices\"&amp;B2013&amp;"_2.mp3","AmE")</f>
        <v/>
      </c>
      <c r="I2013" s="18">
        <f>HYPERLINK("http://dict.youdao.com/w/"&amp;B2013,"有道")</f>
        <v/>
      </c>
    </row>
    <row r="2014">
      <c r="B2014" s="1" t="inlineStr">
        <is>
          <t>vigorous</t>
        </is>
      </c>
      <c r="C2014" s="7">
        <f>"adj. 有力的；精力充沛的"</f>
        <v/>
      </c>
      <c r="G2014" s="18">
        <f>HYPERLINK("D:\python\英语学习\voices\"&amp;B2014&amp;"_1.mp3","BrE")</f>
        <v/>
      </c>
      <c r="H2014" s="18">
        <f>HYPERLINK("D:\python\英语学习\voices\"&amp;B2014&amp;"_2.mp3","AmE")</f>
        <v/>
      </c>
      <c r="I2014" s="18">
        <f>HYPERLINK("http://dict.youdao.com/w/"&amp;B2014,"有道")</f>
        <v/>
      </c>
    </row>
    <row r="2015">
      <c r="B2015" s="1" t="inlineStr">
        <is>
          <t>vilify</t>
        </is>
      </c>
      <c r="C2015" s="7">
        <f>"vt. 诽谤；中伤；轻视；贬低"</f>
        <v/>
      </c>
      <c r="G2015" s="18">
        <f>HYPERLINK("D:\python\英语学习\voices\"&amp;B2015&amp;"_1.mp3","BrE")</f>
        <v/>
      </c>
      <c r="H2015" s="18">
        <f>HYPERLINK("D:\python\英语学习\voices\"&amp;B2015&amp;"_2.mp3","AmE")</f>
        <v/>
      </c>
      <c r="I2015" s="18">
        <f>HYPERLINK("http://dict.youdao.com/w/"&amp;B2015,"有道")</f>
        <v/>
      </c>
    </row>
    <row customHeight="1" ht="42.75" r="2016">
      <c r="B2016" s="1" t="inlineStr">
        <is>
          <t>villa</t>
        </is>
      </c>
      <c r="C2016" s="7">
        <f>"n. 别墅；郊区住宅"&amp;CHAR(10)&amp;"n. (Villa)人名；(西)比利亚；(英、法、葡、罗、意、芬、刚、瑞典)维拉"</f>
        <v/>
      </c>
      <c r="G2016" s="18">
        <f>HYPERLINK("D:\python\英语学习\voices\"&amp;B2016&amp;"_1.mp3","BrE")</f>
        <v/>
      </c>
      <c r="H2016" s="18">
        <f>HYPERLINK("D:\python\英语学习\voices\"&amp;B2016&amp;"_2.mp3","AmE")</f>
        <v/>
      </c>
      <c r="I2016" s="18">
        <f>HYPERLINK("http://dict.youdao.com/w/"&amp;B2016,"有道")</f>
        <v/>
      </c>
    </row>
    <row customHeight="1" ht="42.75" r="2017">
      <c r="B2017" s="1" t="inlineStr">
        <is>
          <t>vine</t>
        </is>
      </c>
      <c r="C2017" s="7">
        <f>"n. 藤；葡萄树；藤本植物；攀缘植物"&amp;CHAR(10)&amp;"vi. 长成藤蔓；爬藤"&amp;CHAR(10)&amp;"n. (Vine)人名；(葡)维内；(英)瓦因"</f>
        <v/>
      </c>
      <c r="G2017" s="18">
        <f>HYPERLINK("D:\python\英语学习\voices\"&amp;B2017&amp;"_1.mp3","BrE")</f>
        <v/>
      </c>
      <c r="H2017" s="18">
        <f>HYPERLINK("D:\python\英语学习\voices\"&amp;B2017&amp;"_2.mp3","AmE")</f>
        <v/>
      </c>
      <c r="I2017" s="18">
        <f>HYPERLINK("http://dict.youdao.com/w/"&amp;B2017,"有道")</f>
        <v/>
      </c>
    </row>
    <row r="2018">
      <c r="B2018" s="1" t="inlineStr">
        <is>
          <t>vineyard</t>
        </is>
      </c>
      <c r="C2018" s="7">
        <f>"n. 葡萄园"</f>
        <v/>
      </c>
      <c r="G2018" s="18">
        <f>HYPERLINK("D:\python\英语学习\voices\"&amp;B2018&amp;"_1.mp3","BrE")</f>
        <v/>
      </c>
      <c r="H2018" s="18">
        <f>HYPERLINK("D:\python\英语学习\voices\"&amp;B2018&amp;"_2.mp3","AmE")</f>
        <v/>
      </c>
      <c r="I2018" s="18">
        <f>HYPERLINK("http://dict.youdao.com/w/"&amp;B2018,"有道")</f>
        <v/>
      </c>
    </row>
    <row r="2019">
      <c r="B2019" s="1" t="inlineStr">
        <is>
          <t>violate</t>
        </is>
      </c>
      <c r="C2019" s="7">
        <f>"vt. 违反；侵犯，妨碍；亵渎"</f>
        <v/>
      </c>
      <c r="G2019" s="18">
        <f>HYPERLINK("D:\python\英语学习\voices\"&amp;B2019&amp;"_1.mp3","BrE")</f>
        <v/>
      </c>
      <c r="H2019" s="18">
        <f>HYPERLINK("D:\python\英语学习\voices\"&amp;B2019&amp;"_2.mp3","AmE")</f>
        <v/>
      </c>
      <c r="I2019" s="18">
        <f>HYPERLINK("http://dict.youdao.com/w/"&amp;B2019,"有道")</f>
        <v/>
      </c>
    </row>
    <row customHeight="1" ht="57" r="2020">
      <c r="B2020" s="1" t="inlineStr">
        <is>
          <t>violet</t>
        </is>
      </c>
      <c r="C2020" s="7">
        <f>"n. 紫罗兰；堇菜；羞怯的人"&amp;CHAR(10)&amp;"adj. 紫色的；紫罗兰色的"&amp;CHAR(10)&amp;"n. (Violet)人名；(西)比奥莱特；(法)维奥莱；(印、匈、英)维奥莱特"</f>
        <v/>
      </c>
      <c r="G2020" s="18">
        <f>HYPERLINK("D:\python\英语学习\voices\"&amp;B2020&amp;"_1.mp3","BrE")</f>
        <v/>
      </c>
      <c r="H2020" s="18">
        <f>HYPERLINK("D:\python\英语学习\voices\"&amp;B2020&amp;"_2.mp3","AmE")</f>
        <v/>
      </c>
      <c r="I2020" s="18">
        <f>HYPERLINK("http://dict.youdao.com/w/"&amp;B2020,"有道")</f>
        <v/>
      </c>
    </row>
    <row r="2021">
      <c r="B2021" s="1" t="inlineStr">
        <is>
          <t>viral</t>
        </is>
      </c>
      <c r="C2021" s="7">
        <f>"adj. 病毒性的"</f>
        <v/>
      </c>
      <c r="G2021" s="18">
        <f>HYPERLINK("D:\python\英语学习\voices\"&amp;B2021&amp;"_1.mp3","BrE")</f>
        <v/>
      </c>
      <c r="H2021" s="18">
        <f>HYPERLINK("D:\python\英语学习\voices\"&amp;B2021&amp;"_2.mp3","AmE")</f>
        <v/>
      </c>
      <c r="I2021" s="18">
        <f>HYPERLINK("http://dict.youdao.com/w/"&amp;B2021,"有道")</f>
        <v/>
      </c>
    </row>
    <row r="2022">
      <c r="B2022" s="1" t="inlineStr">
        <is>
          <t>viscous</t>
        </is>
      </c>
      <c r="C2022" s="7">
        <f>"adj. 粘性的；黏的"</f>
        <v/>
      </c>
      <c r="G2022" s="18">
        <f>HYPERLINK("D:\python\英语学习\voices\"&amp;B2022&amp;"_1.mp3","BrE")</f>
        <v/>
      </c>
      <c r="H2022" s="18">
        <f>HYPERLINK("D:\python\英语学习\voices\"&amp;B2022&amp;"_2.mp3","AmE")</f>
        <v/>
      </c>
      <c r="I2022" s="18">
        <f>HYPERLINK("http://dict.youdao.com/w/"&amp;B2022,"有道")</f>
        <v/>
      </c>
    </row>
    <row r="2023">
      <c r="B2023" s="1" t="inlineStr">
        <is>
          <t>vocational</t>
        </is>
      </c>
      <c r="C2023" s="7">
        <f>"adj. 职业的，行业的"</f>
        <v/>
      </c>
      <c r="G2023" s="18">
        <f>HYPERLINK("D:\python\英语学习\voices\"&amp;B2023&amp;"_1.mp3","BrE")</f>
        <v/>
      </c>
      <c r="H2023" s="18">
        <f>HYPERLINK("D:\python\英语学习\voices\"&amp;B2023&amp;"_2.mp3","AmE")</f>
        <v/>
      </c>
      <c r="I2023" s="18">
        <f>HYPERLINK("http://dict.youdao.com/w/"&amp;B2023,"有道")</f>
        <v/>
      </c>
    </row>
    <row customHeight="1" ht="42.75" r="2024">
      <c r="B2024" s="1" t="inlineStr">
        <is>
          <t>vogue</t>
        </is>
      </c>
      <c r="C2024" s="7">
        <f>"n. 时尚；流行，时髦"&amp;CHAR(10)&amp;"adj. 时髦的，流行的"&amp;CHAR(10)&amp;"n. (Vogue)人名；(葡)沃格"</f>
        <v/>
      </c>
      <c r="G2024" s="18">
        <f>HYPERLINK("D:\python\英语学习\voices\"&amp;B2024&amp;"_1.mp3","BrE")</f>
        <v/>
      </c>
      <c r="H2024" s="18">
        <f>HYPERLINK("D:\python\英语学习\voices\"&amp;B2024&amp;"_2.mp3","AmE")</f>
        <v/>
      </c>
      <c r="I2024" s="18">
        <f>HYPERLINK("http://dict.youdao.com/w/"&amp;B2024,"有道")</f>
        <v/>
      </c>
    </row>
    <row r="2025">
      <c r="B2025" s="1" t="inlineStr">
        <is>
          <t>volatility</t>
        </is>
      </c>
      <c r="C2025" s="7">
        <f>"n. [化学] 挥发性；易变；活泼"</f>
        <v/>
      </c>
      <c r="G2025" s="18">
        <f>HYPERLINK("D:\python\英语学习\voices\"&amp;B2025&amp;"_1.mp3","BrE")</f>
        <v/>
      </c>
      <c r="H2025" s="18">
        <f>HYPERLINK("D:\python\英语学习\voices\"&amp;B2025&amp;"_2.mp3","AmE")</f>
        <v/>
      </c>
      <c r="I2025" s="18">
        <f>HYPERLINK("http://dict.youdao.com/w/"&amp;B2025,"有道")</f>
        <v/>
      </c>
    </row>
    <row r="2026">
      <c r="A2026" s="1" t="inlineStr">
        <is>
          <t>unnecessary</t>
        </is>
      </c>
      <c r="B2026" s="1" t="inlineStr">
        <is>
          <t>volleyball</t>
        </is>
      </c>
      <c r="C2026" s="7">
        <f>"n. 排球"</f>
        <v/>
      </c>
      <c r="G2026" s="18">
        <f>HYPERLINK("D:\python\英语学习\voices\"&amp;B2026&amp;"_1.mp3","BrE")</f>
        <v/>
      </c>
      <c r="H2026" s="18">
        <f>HYPERLINK("D:\python\英语学习\voices\"&amp;B2026&amp;"_2.mp3","AmE")</f>
        <v/>
      </c>
      <c r="I2026" s="18">
        <f>HYPERLINK("http://dict.youdao.com/w/"&amp;B2026,"有道")</f>
        <v/>
      </c>
    </row>
    <row customHeight="1" ht="42.75" r="2027">
      <c r="B2027" s="1" t="inlineStr">
        <is>
          <t>vomit</t>
        </is>
      </c>
      <c r="C2027" s="7">
        <f>"vt. 吐出；使……呕吐"&amp;CHAR(10)&amp;"vi. 呕吐；吐出"&amp;CHAR(10)&amp;"n. 呕吐；呕吐物；催吐剂"</f>
        <v/>
      </c>
      <c r="G2027" s="18">
        <f>HYPERLINK("D:\python\英语学习\voices\"&amp;B2027&amp;"_1.mp3","BrE")</f>
        <v/>
      </c>
      <c r="H2027" s="18">
        <f>HYPERLINK("D:\python\英语学习\voices\"&amp;B2027&amp;"_2.mp3","AmE")</f>
        <v/>
      </c>
      <c r="I2027" s="18">
        <f>HYPERLINK("http://dict.youdao.com/w/"&amp;B2027,"有道")</f>
        <v/>
      </c>
    </row>
    <row customHeight="1" ht="42.75" r="2028">
      <c r="B2028" s="1" t="inlineStr">
        <is>
          <t>vow</t>
        </is>
      </c>
      <c r="C2028" s="7">
        <f>"n. 发誓；誓言；许愿"&amp;CHAR(10)&amp;"vt. 发誓；郑重宣告"&amp;CHAR(10)&amp;"vi. 发誓；郑重宣告"</f>
        <v/>
      </c>
      <c r="G2028" s="18">
        <f>HYPERLINK("D:\python\英语学习\voices\"&amp;B2028&amp;"_1.mp3","BrE")</f>
        <v/>
      </c>
      <c r="H2028" s="18">
        <f>HYPERLINK("D:\python\英语学习\voices\"&amp;B2028&amp;"_2.mp3","AmE")</f>
        <v/>
      </c>
      <c r="I2028" s="18">
        <f>HYPERLINK("http://dict.youdao.com/w/"&amp;B2028,"有道")</f>
        <v/>
      </c>
    </row>
    <row customHeight="1" ht="28.5" r="2029">
      <c r="B2029" s="1" t="inlineStr">
        <is>
          <t>vowel</t>
        </is>
      </c>
      <c r="C2029" s="7">
        <f>"n. 元音；母音"&amp;CHAR(10)&amp;"adj. 元音的"</f>
        <v/>
      </c>
      <c r="G2029" s="18">
        <f>HYPERLINK("D:\python\英语学习\voices\"&amp;B2029&amp;"_1.mp3","BrE")</f>
        <v/>
      </c>
      <c r="H2029" s="18">
        <f>HYPERLINK("D:\python\英语学习\voices\"&amp;B2029&amp;"_2.mp3","AmE")</f>
        <v/>
      </c>
      <c r="I2029" s="18">
        <f>HYPERLINK("http://dict.youdao.com/w/"&amp;B2029,"有道")</f>
        <v/>
      </c>
    </row>
    <row customHeight="1" ht="28.5" r="2030">
      <c r="B2030" s="1" t="inlineStr">
        <is>
          <t>vulgar</t>
        </is>
      </c>
      <c r="C2030" s="7">
        <f>"adj. 粗俗的；通俗的；本土的"&amp;CHAR(10)&amp;"n. 平民，百姓"</f>
        <v/>
      </c>
      <c r="E2030" s="6" t="inlineStr">
        <is>
          <t>vulgar language</t>
        </is>
      </c>
      <c r="G2030" s="18">
        <f>HYPERLINK("D:\python\英语学习\voices\"&amp;B2030&amp;"_1.mp3","BrE")</f>
        <v/>
      </c>
      <c r="H2030" s="18">
        <f>HYPERLINK("D:\python\英语学习\voices\"&amp;B2030&amp;"_2.mp3","AmE")</f>
        <v/>
      </c>
      <c r="I2030" s="18">
        <f>HYPERLINK("http://dict.youdao.com/w/"&amp;B2030,"有道")</f>
        <v/>
      </c>
    </row>
    <row r="2031">
      <c r="B2031" s="1" t="inlineStr">
        <is>
          <t>vulnerability</t>
        </is>
      </c>
      <c r="C2031" s="7">
        <f>"n. 易损性；弱点"</f>
        <v/>
      </c>
      <c r="G2031" s="18">
        <f>HYPERLINK("D:\python\英语学习\voices\"&amp;B2031&amp;"_1.mp3","BrE")</f>
        <v/>
      </c>
      <c r="H2031" s="18">
        <f>HYPERLINK("D:\python\英语学习\voices\"&amp;B2031&amp;"_2.mp3","AmE")</f>
        <v/>
      </c>
      <c r="I2031" s="18">
        <f>HYPERLINK("http://dict.youdao.com/w/"&amp;B2031,"有道")</f>
        <v/>
      </c>
    </row>
    <row customHeight="1" ht="28.5" r="2032">
      <c r="B2032" s="1" t="inlineStr">
        <is>
          <t>vulnerable</t>
        </is>
      </c>
      <c r="C2032" s="7">
        <f>"adj. 易受攻击的，易受…的攻击；易受伤害的；有弱点的"</f>
        <v/>
      </c>
      <c r="G2032" s="18">
        <f>HYPERLINK("D:\python\英语学习\voices\"&amp;B2032&amp;"_1.mp3","BrE")</f>
        <v/>
      </c>
      <c r="H2032" s="18">
        <f>HYPERLINK("D:\python\英语学习\voices\"&amp;B2032&amp;"_2.mp3","AmE")</f>
        <v/>
      </c>
      <c r="I2032" s="18">
        <f>HYPERLINK("http://dict.youdao.com/w/"&amp;B2032,"有道")</f>
        <v/>
      </c>
    </row>
    <row customHeight="1" ht="42.75" r="2033">
      <c r="B2033" s="1" t="inlineStr">
        <is>
          <t>wag</t>
        </is>
      </c>
      <c r="C2033" s="7">
        <f>"vt. 摇摆；摇动；饶舌"&amp;CHAR(10)&amp;"vi. 摆动；喋喋不休；蹒跚而行"&amp;CHAR(10)&amp;"n. 摇摆；爱说笑打趣的人"</f>
        <v/>
      </c>
      <c r="G2033" s="18">
        <f>HYPERLINK("D:\python\英语学习\voices\"&amp;B2033&amp;"_1.mp3","BrE")</f>
        <v/>
      </c>
      <c r="H2033" s="18">
        <f>HYPERLINK("D:\python\英语学习\voices\"&amp;B2033&amp;"_2.mp3","AmE")</f>
        <v/>
      </c>
      <c r="I2033" s="18">
        <f>HYPERLINK("http://dict.youdao.com/w/"&amp;B2033,"有道")</f>
        <v/>
      </c>
    </row>
    <row r="2034">
      <c r="B2034" s="1" t="inlineStr">
        <is>
          <t>waggon</t>
        </is>
      </c>
      <c r="C2034" s="7">
        <f>"n. 四轮运货马车；运货车"</f>
        <v/>
      </c>
      <c r="G2034" s="18">
        <f>HYPERLINK("D:\python\英语学习\voices\"&amp;B2034&amp;"_1.mp3","BrE")</f>
        <v/>
      </c>
      <c r="H2034" s="18">
        <f>HYPERLINK("D:\python\英语学习\voices\"&amp;B2034&amp;"_2.mp3","AmE")</f>
        <v/>
      </c>
      <c r="I2034" s="18">
        <f>HYPERLINK("http://dict.youdao.com/w/"&amp;B2034,"有道")</f>
        <v/>
      </c>
    </row>
    <row customHeight="1" ht="57" r="2035">
      <c r="B2035" s="1" t="inlineStr">
        <is>
          <t>wail</t>
        </is>
      </c>
      <c r="C2035" s="7">
        <f>"vi. 哀号；悲叹"&amp;CHAR(10)&amp;"vt. 为某人死亡而悲痛；哀悼某人；哀号着说"&amp;CHAR(10)&amp;"n. 哀号；悲叹；恸哭声"&amp;CHAR(10)&amp;"n. (Wail)人名；(阿拉伯)瓦伊勒；(英)韦尔"</f>
        <v/>
      </c>
      <c r="G2035" s="18">
        <f>HYPERLINK("D:\python\英语学习\voices\"&amp;B2035&amp;"_1.mp3","BrE")</f>
        <v/>
      </c>
      <c r="H2035" s="18">
        <f>HYPERLINK("D:\python\英语学习\voices\"&amp;B2035&amp;"_2.mp3","AmE")</f>
        <v/>
      </c>
      <c r="I2035" s="18">
        <f>HYPERLINK("http://dict.youdao.com/w/"&amp;B2035,"有道")</f>
        <v/>
      </c>
    </row>
    <row r="2036">
      <c r="B2036" s="1" t="inlineStr">
        <is>
          <t>waive</t>
        </is>
      </c>
      <c r="C2036" s="7">
        <f>"vt. 放弃；搁置"</f>
        <v/>
      </c>
      <c r="G2036" s="18">
        <f>HYPERLINK("D:\python\英语学习\voices\"&amp;B2036&amp;"_1.mp3","BrE")</f>
        <v/>
      </c>
      <c r="H2036" s="18">
        <f>HYPERLINK("D:\python\英语学习\voices\"&amp;B2036&amp;"_2.mp3","AmE")</f>
        <v/>
      </c>
      <c r="I2036" s="18">
        <f>HYPERLINK("http://dict.youdao.com/w/"&amp;B2036,"有道")</f>
        <v/>
      </c>
    </row>
    <row r="2037">
      <c r="B2037" s="1" t="inlineStr">
        <is>
          <t>waiver</t>
        </is>
      </c>
      <c r="C2037" s="7">
        <f>"n. 弃权，放弃；弃权证书"</f>
        <v/>
      </c>
      <c r="G2037" s="18">
        <f>HYPERLINK("D:\python\英语学习\voices\"&amp;B2037&amp;"_1.mp3","BrE")</f>
        <v/>
      </c>
      <c r="H2037" s="18">
        <f>HYPERLINK("D:\python\英语学习\voices\"&amp;B2037&amp;"_2.mp3","AmE")</f>
        <v/>
      </c>
      <c r="I2037" s="18">
        <f>HYPERLINK("http://dict.youdao.com/w/"&amp;B2037,"有道")</f>
        <v/>
      </c>
    </row>
    <row customHeight="1" ht="28.5" r="2038">
      <c r="B2038" s="1" t="inlineStr">
        <is>
          <t>waken</t>
        </is>
      </c>
      <c r="C2038" s="7">
        <f>"vt. 唤醒；使觉醒"&amp;CHAR(10)&amp;"vi. 醒来；觉醒"</f>
        <v/>
      </c>
      <c r="G2038" s="18">
        <f>HYPERLINK("D:\python\英语学习\voices\"&amp;B2038&amp;"_1.mp3","BrE")</f>
        <v/>
      </c>
      <c r="H2038" s="18">
        <f>HYPERLINK("D:\python\英语学习\voices\"&amp;B2038&amp;"_2.mp3","AmE")</f>
        <v/>
      </c>
      <c r="I2038" s="18">
        <f>HYPERLINK("http://dict.youdao.com/w/"&amp;B2038,"有道")</f>
        <v/>
      </c>
    </row>
    <row customHeight="1" ht="57" r="2039">
      <c r="B2039" s="1" t="inlineStr">
        <is>
          <t>ware</t>
        </is>
      </c>
      <c r="C2039" s="7">
        <f>"n. 陶器，器皿；制品；器具；货物"&amp;CHAR(10)&amp;"vt. 留心；小心"&amp;CHAR(10)&amp;"n. (Ware)人名；(罗)瓦雷；(英、加纳)韦尔；(日)吾(姓)"</f>
        <v/>
      </c>
      <c r="G2039" s="18">
        <f>HYPERLINK("D:\python\英语学习\voices\"&amp;B2039&amp;"_1.mp3","BrE")</f>
        <v/>
      </c>
      <c r="H2039" s="18">
        <f>HYPERLINK("D:\python\英语学习\voices\"&amp;B2039&amp;"_2.mp3","AmE")</f>
        <v/>
      </c>
      <c r="I2039" s="18">
        <f>HYPERLINK("http://dict.youdao.com/w/"&amp;B2039,"有道")</f>
        <v/>
      </c>
    </row>
    <row r="2040">
      <c r="B2040" s="1" t="inlineStr">
        <is>
          <t>warranty</t>
        </is>
      </c>
      <c r="C2040" s="7">
        <f>"n. 保证；担保；授权；（正当）理由"</f>
        <v/>
      </c>
      <c r="G2040" s="18">
        <f>HYPERLINK("D:\python\英语学习\voices\"&amp;B2040&amp;"_1.mp3","BrE")</f>
        <v/>
      </c>
      <c r="H2040" s="18">
        <f>HYPERLINK("D:\python\英语学习\voices\"&amp;B2040&amp;"_2.mp3","AmE")</f>
        <v/>
      </c>
      <c r="I2040" s="18">
        <f>HYPERLINK("http://dict.youdao.com/w/"&amp;B2040,"有道")</f>
        <v/>
      </c>
    </row>
    <row customHeight="1" ht="28.5" r="2041">
      <c r="B2041" s="1" t="inlineStr">
        <is>
          <t>wasp</t>
        </is>
      </c>
      <c r="C2041" s="7">
        <f>"n. 黄蜂；[昆] 胡蜂；易怒的人"&amp;CHAR(10)&amp;"vi. 黄蜂似的直扑"</f>
        <v/>
      </c>
      <c r="G2041" s="18">
        <f>HYPERLINK("D:\python\英语学习\voices\"&amp;B2041&amp;"_1.mp3","BrE")</f>
        <v/>
      </c>
      <c r="H2041" s="18">
        <f>HYPERLINK("D:\python\英语学习\voices\"&amp;B2041&amp;"_2.mp3","AmE")</f>
        <v/>
      </c>
      <c r="I2041" s="18">
        <f>HYPERLINK("http://dict.youdao.com/w/"&amp;B2041,"有道")</f>
        <v/>
      </c>
    </row>
    <row r="2042">
      <c r="B2042" s="1" t="inlineStr">
        <is>
          <t>watchful</t>
        </is>
      </c>
      <c r="C2042" s="7">
        <f>"adj. 注意的；警惕的；警醒的"</f>
        <v/>
      </c>
      <c r="G2042" s="18">
        <f>HYPERLINK("D:\python\英语学习\voices\"&amp;B2042&amp;"_1.mp3","BrE")</f>
        <v/>
      </c>
      <c r="H2042" s="18">
        <f>HYPERLINK("D:\python\英语学习\voices\"&amp;B2042&amp;"_2.mp3","AmE")</f>
        <v/>
      </c>
      <c r="I2042" s="18">
        <f>HYPERLINK("http://dict.youdao.com/w/"&amp;B2042,"有道")</f>
        <v/>
      </c>
    </row>
    <row customHeight="1" ht="28.5" r="2043">
      <c r="A2043" s="1" t="inlineStr">
        <is>
          <t>practice</t>
        </is>
      </c>
      <c r="B2043" s="1" t="inlineStr">
        <is>
          <t>persecute</t>
        </is>
      </c>
      <c r="C2043" s="7">
        <f>"vt. 迫害；困扰；同…捣乱"</f>
        <v/>
      </c>
      <c r="G2043" s="18">
        <f>HYPERLINK("D:\python\英语学习\voices\"&amp;B2043&amp;"_1.mp3","BrE")</f>
        <v/>
      </c>
      <c r="H2043" s="18">
        <f>HYPERLINK("D:\python\英语学习\voices\"&amp;B2043&amp;"_2.mp3","AmE")</f>
        <v/>
      </c>
      <c r="I2043" s="18">
        <f>HYPERLINK("http://dict.youdao.com/w/"&amp;B2043,"有道")</f>
        <v/>
      </c>
    </row>
    <row customHeight="1" ht="28.5" r="2044">
      <c r="B2044" s="1" t="inlineStr">
        <is>
          <t>waver</t>
        </is>
      </c>
      <c r="C2044" s="7">
        <f>"vi. 摇曳；踌躇；摆动"&amp;CHAR(10)&amp;"n. 动摇；踌躇；挥动者"</f>
        <v/>
      </c>
      <c r="G2044" s="18">
        <f>HYPERLINK("D:\python\英语学习\voices\"&amp;B2044&amp;"_1.mp3","BrE")</f>
        <v/>
      </c>
      <c r="H2044" s="18">
        <f>HYPERLINK("D:\python\英语学习\voices\"&amp;B2044&amp;"_2.mp3","AmE")</f>
        <v/>
      </c>
      <c r="I2044" s="18">
        <f>HYPERLINK("http://dict.youdao.com/w/"&amp;B2044,"有道")</f>
        <v/>
      </c>
    </row>
    <row customHeight="1" ht="42.75" r="2045">
      <c r="B2045" s="1" t="inlineStr">
        <is>
          <t>weary</t>
        </is>
      </c>
      <c r="C2045" s="7">
        <f>"adj. 疲倦的；厌烦的；令人厌烦的"&amp;CHAR(10)&amp;"vi. 疲倦；厌烦"&amp;CHAR(10)&amp;"vt. 使疲倦；使厌烦"</f>
        <v/>
      </c>
      <c r="G2045" s="18">
        <f>HYPERLINK("D:\python\英语学习\voices\"&amp;B2045&amp;"_1.mp3","BrE")</f>
        <v/>
      </c>
      <c r="H2045" s="18">
        <f>HYPERLINK("D:\python\英语学习\voices\"&amp;B2045&amp;"_2.mp3","AmE")</f>
        <v/>
      </c>
      <c r="I2045" s="18">
        <f>HYPERLINK("http://dict.youdao.com/w/"&amp;B2045,"有道")</f>
        <v/>
      </c>
    </row>
    <row r="2046">
      <c r="B2046" s="1" t="inlineStr">
        <is>
          <t>weathercock</t>
        </is>
      </c>
      <c r="C2046" s="7">
        <f>"n. 风标；随风倒的人"</f>
        <v/>
      </c>
      <c r="E2046" s="6" t="inlineStr">
        <is>
          <t>公鸡形风向标，weathervane风向标</t>
        </is>
      </c>
      <c r="G2046" s="18">
        <f>HYPERLINK("D:\python\英语学习\voices\"&amp;B2046&amp;"_1.mp3","BrE")</f>
        <v/>
      </c>
      <c r="H2046" s="18">
        <f>HYPERLINK("D:\python\英语学习\voices\"&amp;B2046&amp;"_2.mp3","AmE")</f>
        <v/>
      </c>
      <c r="I2046" s="18">
        <f>HYPERLINK("http://dict.youdao.com/w/"&amp;B2046,"有道")</f>
        <v/>
      </c>
    </row>
    <row r="2047">
      <c r="B2047" s="1" t="inlineStr">
        <is>
          <t>weathervane</t>
        </is>
      </c>
      <c r="C2047" s="7">
        <f>"n. 风向标"</f>
        <v/>
      </c>
      <c r="G2047" s="18">
        <f>HYPERLINK("D:\python\英语学习\voices\"&amp;B2047&amp;"_1.mp3","BrE")</f>
        <v/>
      </c>
      <c r="H2047" s="18">
        <f>HYPERLINK("D:\python\英语学习\voices\"&amp;B2047&amp;"_2.mp3","AmE")</f>
        <v/>
      </c>
      <c r="I2047" s="18">
        <f>HYPERLINK("http://dict.youdao.com/w/"&amp;B2047,"有道")</f>
        <v/>
      </c>
    </row>
    <row customHeight="1" ht="28.5" r="2048">
      <c r="B2048" s="1" t="inlineStr">
        <is>
          <t>wed</t>
        </is>
      </c>
      <c r="C2048" s="7">
        <f>"vt. 与...结婚；娶；嫁"&amp;CHAR(10)&amp;"vi. 结婚；娶；嫁"</f>
        <v/>
      </c>
      <c r="G2048" s="18">
        <f>HYPERLINK("D:\python\英语学习\voices\"&amp;B2048&amp;"_1.mp3","BrE")</f>
        <v/>
      </c>
      <c r="H2048" s="18">
        <f>HYPERLINK("D:\python\英语学习\voices\"&amp;B2048&amp;"_2.mp3","AmE")</f>
        <v/>
      </c>
      <c r="I2048" s="18">
        <f>HYPERLINK("http://dict.youdao.com/w/"&amp;B2048,"有道")</f>
        <v/>
      </c>
    </row>
    <row customHeight="1" ht="57" r="2049">
      <c r="B2049" s="1" t="inlineStr">
        <is>
          <t>weld</t>
        </is>
      </c>
      <c r="C2049" s="7">
        <f>"vt. 焊接；使结合；使成整体"&amp;CHAR(10)&amp;"vi. 焊牢"&amp;CHAR(10)&amp;"n. 焊接；焊接点"&amp;CHAR(10)&amp;"n. (Weld)人名；(英)韦尔德"</f>
        <v/>
      </c>
      <c r="G2049" s="18">
        <f>HYPERLINK("D:\python\英语学习\voices\"&amp;B2049&amp;"_1.mp3","BrE")</f>
        <v/>
      </c>
      <c r="H2049" s="18">
        <f>HYPERLINK("D:\python\英语学习\voices\"&amp;B2049&amp;"_2.mp3","AmE")</f>
        <v/>
      </c>
      <c r="I2049" s="18">
        <f>HYPERLINK("http://dict.youdao.com/w/"&amp;B2049,"有道")</f>
        <v/>
      </c>
    </row>
    <row customHeight="1" ht="57" r="2050">
      <c r="B2050" s="1" t="inlineStr">
        <is>
          <t>whale</t>
        </is>
      </c>
      <c r="C2050" s="7">
        <f>"vt. 猛揍；使惨败"&amp;CHAR(10)&amp;"vi. 捕鲸"&amp;CHAR(10)&amp;"n. 鲸；巨大的东西"&amp;CHAR(10)&amp;"n. (Whale)人名；(英)惠尔"</f>
        <v/>
      </c>
      <c r="E2050" s="6" t="inlineStr">
        <is>
          <t>好多意思</t>
        </is>
      </c>
      <c r="G2050" s="18">
        <f>HYPERLINK("D:\python\英语学习\voices\"&amp;B2050&amp;"_1.mp3","BrE")</f>
        <v/>
      </c>
      <c r="H2050" s="18">
        <f>HYPERLINK("D:\python\英语学习\voices\"&amp;B2050&amp;"_2.mp3","AmE")</f>
        <v/>
      </c>
      <c r="I2050" s="18">
        <f>HYPERLINK("http://dict.youdao.com/w/"&amp;B2050,"有道")</f>
        <v/>
      </c>
    </row>
    <row customHeight="1" ht="42.75" r="2051">
      <c r="B2051" s="1" t="inlineStr">
        <is>
          <t>wharf</t>
        </is>
      </c>
      <c r="C2051" s="7">
        <f>"vt. 使靠码头；为…建码头；把货卸在码头上"&amp;CHAR(10)&amp;"vi. 靠码头"&amp;CHAR(10)&amp;"n. 码头；停泊处"</f>
        <v/>
      </c>
      <c r="G2051" s="18">
        <f>HYPERLINK("D:\python\英语学习\voices\"&amp;B2051&amp;"_1.mp3","BrE")</f>
        <v/>
      </c>
      <c r="H2051" s="18">
        <f>HYPERLINK("D:\python\英语学习\voices\"&amp;B2051&amp;"_2.mp3","AmE")</f>
        <v/>
      </c>
      <c r="I2051" s="18">
        <f>HYPERLINK("http://dict.youdao.com/w/"&amp;B2051,"有道")</f>
        <v/>
      </c>
    </row>
    <row r="2052">
      <c r="B2052" s="1" t="inlineStr">
        <is>
          <t>whereas</t>
        </is>
      </c>
      <c r="C2052" s="7">
        <f>"conj. 然而；鉴于；反之"</f>
        <v/>
      </c>
      <c r="E2052" s="6" t="inlineStr">
        <is>
          <t>whereas, nevertheless, but, however, still, while, yet
这组词都有“但是，可是，然而，而”的意思，其区别是：
whereas 表对比，一般可与while互换。
nevertheless 指尽管作出完全让步，也不会发生任何影响。
but 口语常用词，语气较强，泛指与前述情况相反。
however 表转折关系，语气稍弱于but，连接性也弱一些，因而常作插入语。
still 语气强，多用于肯定句或疑问句。指尽管作出让步，采取措施或表示反对，但情况仍然如故，无所改变。
while 表对比，一般可与whereas换用，但程度弱一些。
yet 常用于否定句，语气比still稍强。指不管作出多大努力或让步，仍达不到预期的结果。</t>
        </is>
      </c>
      <c r="G2052" s="18">
        <f>HYPERLINK("D:\python\英语学习\voices\"&amp;B2052&amp;"_1.mp3","BrE")</f>
        <v/>
      </c>
      <c r="H2052" s="18">
        <f>HYPERLINK("D:\python\英语学习\voices\"&amp;B2052&amp;"_2.mp3","AmE")</f>
        <v/>
      </c>
      <c r="I2052" s="18">
        <f>HYPERLINK("http://dict.youdao.com/w/"&amp;B2052,"有道")</f>
        <v/>
      </c>
    </row>
    <row customHeight="1" ht="28.5" r="2053">
      <c r="A2053" t="inlineStr">
        <is>
          <t>practice</t>
        </is>
      </c>
      <c r="B2053" s="1" t="inlineStr">
        <is>
          <t>pertain</t>
        </is>
      </c>
      <c r="C2053" s="7">
        <f>"vi. 属于；关于；适合"</f>
        <v/>
      </c>
      <c r="G2053" s="18">
        <f>HYPERLINK("D:\python\英语学习\voices\"&amp;B2053&amp;"_1.mp3","BrE")</f>
        <v/>
      </c>
      <c r="H2053" s="18">
        <f>HYPERLINK("D:\python\英语学习\voices\"&amp;B2053&amp;"_2.mp3","AmE")</f>
        <v/>
      </c>
      <c r="I2053" s="18">
        <f>HYPERLINK("http://dict.youdao.com/w/"&amp;B2053,"有道")</f>
        <v/>
      </c>
    </row>
    <row customHeight="1" ht="42.75" r="2054">
      <c r="A2054" s="1" t="inlineStr">
        <is>
          <t>practice</t>
        </is>
      </c>
      <c r="B2054" s="1" t="inlineStr">
        <is>
          <t>pertinent</t>
        </is>
      </c>
      <c r="C2054" s="7">
        <f>"adj. 相关的，相干的；中肯的；切题的"</f>
        <v/>
      </c>
      <c r="E2054" s="6" t="inlineStr">
        <is>
          <t>相关的 [正式]   pertinent data 有关资料</t>
        </is>
      </c>
      <c r="G2054" s="18">
        <f>HYPERLINK("D:\python\英语学习\voices\"&amp;B2054&amp;"_1.mp3","BrE")</f>
        <v/>
      </c>
      <c r="H2054" s="18">
        <f>HYPERLINK("D:\python\英语学习\voices\"&amp;B2054&amp;"_2.mp3","AmE")</f>
        <v/>
      </c>
      <c r="I2054" s="18">
        <f>HYPERLINK("http://dict.youdao.com/w/"&amp;B2054,"有道")</f>
        <v/>
      </c>
    </row>
    <row customHeight="1" ht="57" r="2055">
      <c r="B2055" s="1" t="inlineStr">
        <is>
          <t>whirl</t>
        </is>
      </c>
      <c r="C2055" s="7">
        <f>"n. 旋转，回旋；昏乱；一连串的事；短暂的旅行"&amp;CHAR(10)&amp;"vi. 旋转，回旋；急走；头晕眼花"&amp;CHAR(10)&amp;"vt. 使旋转；卷走，飞快地带走"</f>
        <v/>
      </c>
      <c r="G2055" s="18">
        <f>HYPERLINK("D:\python\英语学习\voices\"&amp;B2055&amp;"_1.mp3","BrE")</f>
        <v/>
      </c>
      <c r="H2055" s="18">
        <f>HYPERLINK("D:\python\英语学习\voices\"&amp;B2055&amp;"_2.mp3","AmE")</f>
        <v/>
      </c>
      <c r="I2055" s="18">
        <f>HYPERLINK("http://dict.youdao.com/w/"&amp;B2055,"有道")</f>
        <v/>
      </c>
    </row>
    <row customHeight="1" ht="28.5" r="2056">
      <c r="A2056" s="1" t="inlineStr">
        <is>
          <t>practice</t>
        </is>
      </c>
      <c r="B2056" s="1" t="inlineStr">
        <is>
          <t>petition</t>
        </is>
      </c>
      <c r="C2056" s="7">
        <f>"n. 请愿；请愿书；祈求；[法] 诉状"&amp;CHAR(10)&amp;"vi. 请愿；请求"&amp;CHAR(10)&amp;"vt. 请愿；请求；恳求"</f>
        <v/>
      </c>
      <c r="G2056" s="18">
        <f>HYPERLINK("D:\python\英语学习\voices\"&amp;B2056&amp;"_1.mp3","BrE")</f>
        <v/>
      </c>
      <c r="H2056" s="18">
        <f>HYPERLINK("D:\python\英语学习\voices\"&amp;B2056&amp;"_2.mp3","AmE")</f>
        <v/>
      </c>
      <c r="I2056" s="18">
        <f>HYPERLINK("http://dict.youdao.com/w/"&amp;B2056,"有道")</f>
        <v/>
      </c>
    </row>
    <row r="2057">
      <c r="B2057" s="1" t="inlineStr">
        <is>
          <t>wicket</t>
        </is>
      </c>
      <c r="C2057" s="7">
        <f>"n. 小门；三柱门；边门；售票窗"</f>
        <v/>
      </c>
      <c r="G2057" s="18">
        <f>HYPERLINK("D:\python\英语学习\voices\"&amp;B2057&amp;"_1.mp3","BrE")</f>
        <v/>
      </c>
      <c r="H2057" s="18">
        <f>HYPERLINK("D:\python\英语学习\voices\"&amp;B2057&amp;"_2.mp3","AmE")</f>
        <v/>
      </c>
      <c r="I2057" s="18">
        <f>HYPERLINK("http://dict.youdao.com/w/"&amp;B2057,"有道")</f>
        <v/>
      </c>
    </row>
    <row r="2058">
      <c r="B2058" s="1" t="inlineStr">
        <is>
          <t>wield</t>
        </is>
      </c>
      <c r="C2058" s="7">
        <f>"vt. 使用；行使；挥舞"</f>
        <v/>
      </c>
      <c r="G2058" s="18">
        <f>HYPERLINK("D:\python\英语学习\voices\"&amp;B2058&amp;"_1.mp3","BrE")</f>
        <v/>
      </c>
      <c r="H2058" s="18">
        <f>HYPERLINK("D:\python\英语学习\voices\"&amp;B2058&amp;"_2.mp3","AmE")</f>
        <v/>
      </c>
      <c r="I2058" s="18">
        <f>HYPERLINK("http://dict.youdao.com/w/"&amp;B2058,"有道")</f>
        <v/>
      </c>
    </row>
    <row customHeight="1" ht="42.75" r="2059">
      <c r="B2059" s="1" t="inlineStr">
        <is>
          <t>willow</t>
        </is>
      </c>
      <c r="C2059" s="7">
        <f>"n. [林] 柳树；[木] 柳木制品"&amp;CHAR(10)&amp;"adj. 柳木制的"&amp;CHAR(10)&amp;"n. (Willow)人名；(英)威洛，薇洛(女名)"</f>
        <v/>
      </c>
      <c r="G2059" s="18">
        <f>HYPERLINK("D:\python\英语学习\voices\"&amp;B2059&amp;"_1.mp3","BrE")</f>
        <v/>
      </c>
      <c r="H2059" s="18">
        <f>HYPERLINK("D:\python\英语学习\voices\"&amp;B2059&amp;"_2.mp3","AmE")</f>
        <v/>
      </c>
      <c r="I2059" s="18">
        <f>HYPERLINK("http://dict.youdao.com/w/"&amp;B2059,"有道")</f>
        <v/>
      </c>
    </row>
    <row customHeight="1" ht="42.75" r="2060">
      <c r="B2060" s="1" t="inlineStr">
        <is>
          <t>winding</t>
        </is>
      </c>
      <c r="C2060" s="7">
        <f>"n. 绕，缠；线圈；弯曲"&amp;CHAR(10)&amp;"adj. 弯曲的，蜿蜒的；卷绕的"&amp;CHAR(10)&amp;"n. (Winding)人名；(英、德)温丁"</f>
        <v/>
      </c>
      <c r="G2060" s="18">
        <f>HYPERLINK("D:\python\英语学习\voices\"&amp;B2060&amp;"_1.mp3","BrE")</f>
        <v/>
      </c>
      <c r="H2060" s="18">
        <f>HYPERLINK("D:\python\英语学习\voices\"&amp;B2060&amp;"_2.mp3","AmE")</f>
        <v/>
      </c>
      <c r="I2060" s="18">
        <f>HYPERLINK("http://dict.youdao.com/w/"&amp;B2060,"有道")</f>
        <v/>
      </c>
    </row>
    <row customHeight="1" ht="57" r="2061">
      <c r="B2061" s="1" t="inlineStr">
        <is>
          <t>wink</t>
        </is>
      </c>
      <c r="C2061" s="7">
        <f>"vi. 眨眼；使眼色；闪烁"&amp;CHAR(10)&amp;"n. 眨眼；使眼色；闪烁；瞬间"&amp;CHAR(10)&amp;"vt. 眨眼"&amp;CHAR(10)&amp;"n. (Wink)人名；(瑞典、芬、德)温克"</f>
        <v/>
      </c>
      <c r="G2061" s="18">
        <f>HYPERLINK("D:\python\英语学习\voices\"&amp;B2061&amp;"_1.mp3","BrE")</f>
        <v/>
      </c>
      <c r="H2061" s="18">
        <f>HYPERLINK("D:\python\英语学习\voices\"&amp;B2061&amp;"_2.mp3","AmE")</f>
        <v/>
      </c>
      <c r="I2061" s="18">
        <f>HYPERLINK("http://dict.youdao.com/w/"&amp;B2061,"有道")</f>
        <v/>
      </c>
    </row>
    <row customHeight="1" ht="28.5" r="2062">
      <c r="A2062" s="1" t="inlineStr">
        <is>
          <t>practice</t>
        </is>
      </c>
      <c r="B2062" s="1" t="inlineStr">
        <is>
          <t>pivotal</t>
        </is>
      </c>
      <c r="C2062" s="7">
        <f>"adj. 关键的；中枢的；枢轴的"&amp;CHAR(10)&amp;"n. 关键事物；中心事物"</f>
        <v/>
      </c>
      <c r="E2062" s="7" t="inlineStr">
        <is>
          <t>核心，此时可替换important。注意发音/i/</t>
        </is>
      </c>
      <c r="G2062" s="18">
        <f>HYPERLINK("D:\python\英语学习\voices\"&amp;B2062&amp;"_1.mp3","BrE")</f>
        <v/>
      </c>
      <c r="H2062" s="18">
        <f>HYPERLINK("D:\python\英语学习\voices\"&amp;B2062&amp;"_2.mp3","AmE")</f>
        <v/>
      </c>
      <c r="I2062" s="18">
        <f>HYPERLINK("http://dict.youdao.com/w/"&amp;B2062,"有道")</f>
        <v/>
      </c>
    </row>
    <row customHeight="1" ht="28.5" r="2063">
      <c r="B2063" s="1" t="inlineStr">
        <is>
          <t>withstand</t>
        </is>
      </c>
      <c r="C2063" s="7">
        <f>"vt. 抵挡；禁得起；反抗"&amp;CHAR(10)&amp;"vi. 反抗"</f>
        <v/>
      </c>
      <c r="E2063" s="6" t="inlineStr">
        <is>
          <t>notwithstanding不是对抗，但是</t>
        </is>
      </c>
      <c r="G2063" s="18">
        <f>HYPERLINK("D:\python\英语学习\voices\"&amp;B2063&amp;"_1.mp3","BrE")</f>
        <v/>
      </c>
      <c r="H2063" s="18">
        <f>HYPERLINK("D:\python\英语学习\voices\"&amp;B2063&amp;"_2.mp3","AmE")</f>
        <v/>
      </c>
      <c r="I2063" s="18">
        <f>HYPERLINK("http://dict.youdao.com/w/"&amp;B2063,"有道")</f>
        <v/>
      </c>
    </row>
    <row customHeight="1" ht="57" r="2064">
      <c r="B2064" s="1" t="inlineStr">
        <is>
          <t>witness</t>
        </is>
      </c>
      <c r="C2064" s="7">
        <f>"n. 证人；目击者；证据"&amp;CHAR(10)&amp;"vt. 目击；证明；为…作证"&amp;CHAR(10)&amp;"vi. 作证人"&amp;CHAR(10)&amp;"n. (Witness)人名；(津)威特尼斯"</f>
        <v/>
      </c>
      <c r="E2064" s="6" t="inlineStr">
        <is>
          <t>动词多用于宗教</t>
        </is>
      </c>
      <c r="G2064" s="18">
        <f>HYPERLINK("D:\python\英语学习\voices\"&amp;B2064&amp;"_1.mp3","BrE")</f>
        <v/>
      </c>
      <c r="H2064" s="18">
        <f>HYPERLINK("D:\python\英语学习\voices\"&amp;B2064&amp;"_2.mp3","AmE")</f>
        <v/>
      </c>
      <c r="I2064" s="18">
        <f>HYPERLINK("http://dict.youdao.com/w/"&amp;B2064,"有道")</f>
        <v/>
      </c>
    </row>
    <row customHeight="1" ht="28.5" r="2065">
      <c r="B2065" s="1" t="inlineStr">
        <is>
          <t>witty</t>
        </is>
      </c>
      <c r="C2065" s="7">
        <f>"adj. 诙谐的；富于机智的"&amp;CHAR(10)&amp;"n. (Witty)人名；(英)威蒂"</f>
        <v/>
      </c>
      <c r="D2065" s="6" t="inlineStr">
        <is>
          <t>wit</t>
        </is>
      </c>
      <c r="G2065" s="18">
        <f>HYPERLINK("D:\python\英语学习\voices\"&amp;B2065&amp;"_1.mp3","BrE")</f>
        <v/>
      </c>
      <c r="H2065" s="18">
        <f>HYPERLINK("D:\python\英语学习\voices\"&amp;B2065&amp;"_2.mp3","AmE")</f>
        <v/>
      </c>
      <c r="I2065" s="18">
        <f>HYPERLINK("http://dict.youdao.com/w/"&amp;B2065,"有道")</f>
        <v/>
      </c>
    </row>
    <row customHeight="1" ht="42.75" r="2066">
      <c r="B2066" s="1" t="inlineStr">
        <is>
          <t>woe</t>
        </is>
      </c>
      <c r="C2066" s="7">
        <f>"n. 悲哀，悲痛；灾难"&amp;CHAR(10)&amp;"int. 唉（表示痛苦，悲伤或悔恨）"&amp;CHAR(10)&amp;"n. (Woe)人名；(德)韦"</f>
        <v/>
      </c>
      <c r="G2066" s="18">
        <f>HYPERLINK("D:\python\英语学习\voices\"&amp;B2066&amp;"_1.mp3","BrE")</f>
        <v/>
      </c>
      <c r="H2066" s="18">
        <f>HYPERLINK("D:\python\英语学习\voices\"&amp;B2066&amp;"_2.mp3","AmE")</f>
        <v/>
      </c>
      <c r="I2066" s="18">
        <f>HYPERLINK("http://dict.youdao.com/w/"&amp;B2066,"有道")</f>
        <v/>
      </c>
    </row>
    <row customHeight="1" ht="42.75" r="2067">
      <c r="B2067" s="1" t="inlineStr">
        <is>
          <t>woodland</t>
        </is>
      </c>
      <c r="C2067" s="7">
        <f>"n. 林地；森林"&amp;CHAR(10)&amp;"adj. 林地的；居住在森林中的"&amp;CHAR(10)&amp;"n. (Woodland)人名；(英)伍德兰"</f>
        <v/>
      </c>
      <c r="G2067" s="18">
        <f>HYPERLINK("D:\python\英语学习\voices\"&amp;B2067&amp;"_1.mp3","BrE")</f>
        <v/>
      </c>
      <c r="H2067" s="18">
        <f>HYPERLINK("D:\python\英语学习\voices\"&amp;B2067&amp;"_2.mp3","AmE")</f>
        <v/>
      </c>
      <c r="I2067" s="18">
        <f>HYPERLINK("http://dict.youdao.com/w/"&amp;B2067,"有道")</f>
        <v/>
      </c>
    </row>
    <row r="2068">
      <c r="B2068" s="1" t="inlineStr">
        <is>
          <t>workload</t>
        </is>
      </c>
      <c r="C2068" s="7">
        <f>"n. 工作量"</f>
        <v/>
      </c>
      <c r="G2068" s="18">
        <f>HYPERLINK("D:\python\英语学习\voices\"&amp;B2068&amp;"_1.mp3","BrE")</f>
        <v/>
      </c>
      <c r="H2068" s="18">
        <f>HYPERLINK("D:\python\英语学习\voices\"&amp;B2068&amp;"_2.mp3","AmE")</f>
        <v/>
      </c>
      <c r="I2068" s="18">
        <f>HYPERLINK("http://dict.youdao.com/w/"&amp;B2068,"有道")</f>
        <v/>
      </c>
    </row>
    <row r="2069">
      <c r="B2069" s="1" t="inlineStr">
        <is>
          <t>workshop</t>
        </is>
      </c>
      <c r="C2069" s="7">
        <f>"n. 车间；研讨会；工场；讲习班"</f>
        <v/>
      </c>
      <c r="G2069" s="18">
        <f>HYPERLINK("D:\python\英语学习\voices\"&amp;B2069&amp;"_1.mp3","BrE")</f>
        <v/>
      </c>
      <c r="H2069" s="18">
        <f>HYPERLINK("D:\python\英语学习\voices\"&amp;B2069&amp;"_2.mp3","AmE")</f>
        <v/>
      </c>
      <c r="I2069" s="18">
        <f>HYPERLINK("http://dict.youdao.com/w/"&amp;B2069,"有道")</f>
        <v/>
      </c>
    </row>
    <row customHeight="1" ht="42.75" r="2070">
      <c r="B2070" s="1" t="inlineStr">
        <is>
          <t>wreath</t>
        </is>
      </c>
      <c r="C2070" s="7">
        <f>"n. 花冠；圈状物"&amp;CHAR(10)&amp;"vt. 环绕（等于wreathe）"&amp;CHAR(10)&amp;"vi. 盘旋（等于wreathe）"</f>
        <v/>
      </c>
      <c r="G2070" s="18">
        <f>HYPERLINK("D:\python\英语学习\voices\"&amp;B2070&amp;"_1.mp3","BrE")</f>
        <v/>
      </c>
      <c r="H2070" s="18">
        <f>HYPERLINK("D:\python\英语学习\voices\"&amp;B2070&amp;"_2.mp3","AmE")</f>
        <v/>
      </c>
      <c r="I2070" s="18">
        <f>HYPERLINK("http://dict.youdao.com/w/"&amp;B2070,"有道")</f>
        <v/>
      </c>
    </row>
    <row customHeight="1" ht="57" r="2071">
      <c r="B2071" s="1" t="inlineStr">
        <is>
          <t>wrench</t>
        </is>
      </c>
      <c r="C2071" s="7">
        <f>"n. 扳手，扳钳；扭伤；痛苦；歪曲；猛扭"&amp;CHAR(10)&amp;"vt. 扭伤；猛扭；曲解；折磨"&amp;CHAR(10)&amp;"vi. 扭伤；猛扭；猛绞"&amp;CHAR(10)&amp;"n. (Wrench)人名；(英)伦奇"</f>
        <v/>
      </c>
      <c r="G2071" s="18">
        <f>HYPERLINK("D:\python\英语学习\voices\"&amp;B2071&amp;"_1.mp3","BrE")</f>
        <v/>
      </c>
      <c r="H2071" s="18">
        <f>HYPERLINK("D:\python\英语学习\voices\"&amp;B2071&amp;"_2.mp3","AmE")</f>
        <v/>
      </c>
      <c r="I2071" s="18">
        <f>HYPERLINK("http://dict.youdao.com/w/"&amp;B2071,"有道")</f>
        <v/>
      </c>
    </row>
    <row customHeight="1" ht="42.75" r="2072">
      <c r="B2072" s="1" t="inlineStr">
        <is>
          <t>wrestle</t>
        </is>
      </c>
      <c r="C2072" s="7">
        <f>"n. 摔跤；搏斗；斗争"&amp;CHAR(10)&amp;"vi. 摔跤；斗争；斟酌"&amp;CHAR(10)&amp;"vt. 与摔跤；与…搏斗；使劲搬动"</f>
        <v/>
      </c>
      <c r="G2072" s="18">
        <f>HYPERLINK("D:\python\英语学习\voices\"&amp;B2072&amp;"_1.mp3","BrE")</f>
        <v/>
      </c>
      <c r="H2072" s="18">
        <f>HYPERLINK("D:\python\英语学习\voices\"&amp;B2072&amp;"_2.mp3","AmE")</f>
        <v/>
      </c>
      <c r="I2072" s="18">
        <f>HYPERLINK("http://dict.youdao.com/w/"&amp;B2072,"有道")</f>
        <v/>
      </c>
    </row>
    <row r="2073">
      <c r="B2073" s="1" t="inlineStr">
        <is>
          <t>wretch</t>
        </is>
      </c>
      <c r="C2073" s="7">
        <f>"n. 可怜的人，不幸的人；卑鄙的人"</f>
        <v/>
      </c>
      <c r="G2073" s="18">
        <f>HYPERLINK("D:\python\英语学习\voices\"&amp;B2073&amp;"_1.mp3","BrE")</f>
        <v/>
      </c>
      <c r="H2073" s="18">
        <f>HYPERLINK("D:\python\英语学习\voices\"&amp;B2073&amp;"_2.mp3","AmE")</f>
        <v/>
      </c>
      <c r="I2073" s="18">
        <f>HYPERLINK("http://dict.youdao.com/w/"&amp;B2073,"有道")</f>
        <v/>
      </c>
    </row>
    <row r="2074">
      <c r="B2074" s="1" t="inlineStr">
        <is>
          <t>wretched</t>
        </is>
      </c>
      <c r="C2074" s="7">
        <f>"adj. 可怜的；卑鄙的；令人苦恼或难受的"</f>
        <v/>
      </c>
      <c r="G2074" s="18">
        <f>HYPERLINK("D:\python\英语学习\voices\"&amp;B2074&amp;"_1.mp3","BrE")</f>
        <v/>
      </c>
      <c r="H2074" s="18">
        <f>HYPERLINK("D:\python\英语学习\voices\"&amp;B2074&amp;"_2.mp3","AmE")</f>
        <v/>
      </c>
      <c r="I2074" s="18">
        <f>HYPERLINK("http://dict.youdao.com/w/"&amp;B2074,"有道")</f>
        <v/>
      </c>
    </row>
    <row customHeight="1" ht="42.75" r="2075">
      <c r="B2075" s="1" t="inlineStr">
        <is>
          <t>wring</t>
        </is>
      </c>
      <c r="C2075" s="7">
        <f>"vt. 拧；绞；紧握；使痛苦；折磨"&amp;CHAR(10)&amp;"vi. 蠕动；扭动；感到痛苦；感到苦恼"&amp;CHAR(10)&amp;"n. 拧；绞；挤；扭动"</f>
        <v/>
      </c>
      <c r="G2075" s="18">
        <f>HYPERLINK("D:\python\英语学习\voices\"&amp;B2075&amp;"_1.mp3","BrE")</f>
        <v/>
      </c>
      <c r="H2075" s="18">
        <f>HYPERLINK("D:\python\英语学习\voices\"&amp;B2075&amp;"_2.mp3","AmE")</f>
        <v/>
      </c>
      <c r="I2075" s="18">
        <f>HYPERLINK("http://dict.youdao.com/w/"&amp;B2075,"有道")</f>
        <v/>
      </c>
    </row>
    <row customHeight="1" ht="42.75" r="2076">
      <c r="B2076" s="1" t="inlineStr">
        <is>
          <t>yacht</t>
        </is>
      </c>
      <c r="C2076" s="7">
        <f>"vi. 乘游艇，驾游艇"&amp;CHAR(10)&amp;"n. 游艇，快艇；轻舟"&amp;CHAR(10)&amp;"n. (Yacht)人名；(英)约特"</f>
        <v/>
      </c>
      <c r="E2076" s="6" t="inlineStr">
        <is>
          <t>注意发音</t>
        </is>
      </c>
      <c r="G2076" s="18">
        <f>HYPERLINK("D:\python\英语学习\voices\"&amp;B2076&amp;"_1.mp3","BrE")</f>
        <v/>
      </c>
      <c r="H2076" s="18">
        <f>HYPERLINK("D:\python\英语学习\voices\"&amp;B2076&amp;"_2.mp3","AmE")</f>
        <v/>
      </c>
      <c r="I2076" s="18">
        <f>HYPERLINK("http://dict.youdao.com/w/"&amp;B2076,"有道")</f>
        <v/>
      </c>
    </row>
    <row customHeight="1" ht="42.75" r="2077">
      <c r="B2077" s="1" t="inlineStr">
        <is>
          <t>yarn</t>
        </is>
      </c>
      <c r="C2077" s="7">
        <f>"n. 纱线；奇谈，故事"&amp;CHAR(10)&amp;"vt. 用纱线缠"&amp;CHAR(10)&amp;"vi. 讲故事"</f>
        <v/>
      </c>
      <c r="G2077" s="18">
        <f>HYPERLINK("D:\python\英语学习\voices\"&amp;B2077&amp;"_1.mp3","BrE")</f>
        <v/>
      </c>
      <c r="H2077" s="18">
        <f>HYPERLINK("D:\python\英语学习\voices\"&amp;B2077&amp;"_2.mp3","AmE")</f>
        <v/>
      </c>
      <c r="I2077" s="18">
        <f>HYPERLINK("http://dict.youdao.com/w/"&amp;B2077,"有道")</f>
        <v/>
      </c>
    </row>
    <row customHeight="1" ht="42.75" r="2078">
      <c r="B2078" s="1" t="inlineStr">
        <is>
          <t>yawn</t>
        </is>
      </c>
      <c r="C2078" s="7">
        <f>"n. 哈欠；裂口"&amp;CHAR(10)&amp;"vi. 打哈欠；裂开"&amp;CHAR(10)&amp;"vt. 张开；打著哈欠说"</f>
        <v/>
      </c>
      <c r="G2078" s="18">
        <f>HYPERLINK("D:\python\英语学习\voices\"&amp;B2078&amp;"_1.mp3","BrE")</f>
        <v/>
      </c>
      <c r="H2078" s="18">
        <f>HYPERLINK("D:\python\英语学习\voices\"&amp;B2078&amp;"_2.mp3","AmE")</f>
        <v/>
      </c>
      <c r="I2078" s="18">
        <f>HYPERLINK("http://dict.youdao.com/w/"&amp;B2078,"有道")</f>
        <v/>
      </c>
    </row>
    <row customHeight="1" ht="42.75" r="2079">
      <c r="B2079" s="1" t="inlineStr">
        <is>
          <t>yearly</t>
        </is>
      </c>
      <c r="C2079" s="7">
        <f>"adj. 每年的"&amp;CHAR(10)&amp;"adv. 每年；一年一次"&amp;CHAR(10)&amp;"n. 年刊；年鉴"</f>
        <v/>
      </c>
      <c r="G2079" s="18">
        <f>HYPERLINK("D:\python\英语学习\voices\"&amp;B2079&amp;"_1.mp3","BrE")</f>
        <v/>
      </c>
      <c r="H2079" s="18">
        <f>HYPERLINK("D:\python\英语学习\voices\"&amp;B2079&amp;"_2.mp3","AmE")</f>
        <v/>
      </c>
      <c r="I2079" s="18">
        <f>HYPERLINK("http://dict.youdao.com/w/"&amp;B2079,"有道")</f>
        <v/>
      </c>
    </row>
    <row r="2080">
      <c r="B2080" s="1" t="inlineStr">
        <is>
          <t>yeast</t>
        </is>
      </c>
      <c r="C2080" s="7">
        <f>"n. 酵母；泡沫；酵母片；引起骚动因素"</f>
        <v/>
      </c>
      <c r="G2080" s="18">
        <f>HYPERLINK("D:\python\英语学习\voices\"&amp;B2080&amp;"_1.mp3","BrE")</f>
        <v/>
      </c>
      <c r="H2080" s="18">
        <f>HYPERLINK("D:\python\英语学习\voices\"&amp;B2080&amp;"_2.mp3","AmE")</f>
        <v/>
      </c>
      <c r="I2080" s="18">
        <f>HYPERLINK("http://dict.youdao.com/w/"&amp;B2080,"有道")</f>
        <v/>
      </c>
    </row>
    <row r="2081">
      <c r="B2081" s="1" t="inlineStr">
        <is>
          <t>yolk</t>
        </is>
      </c>
      <c r="C2081" s="7">
        <f>"n. 蛋黄；[胚] 卵黄；羊毛脂"</f>
        <v/>
      </c>
      <c r="G2081" s="18">
        <f>HYPERLINK("D:\python\英语学习\voices\"&amp;B2081&amp;"_1.mp3","BrE")</f>
        <v/>
      </c>
      <c r="H2081" s="18">
        <f>HYPERLINK("D:\python\英语学习\voices\"&amp;B2081&amp;"_2.mp3","AmE")</f>
        <v/>
      </c>
      <c r="I2081" s="18">
        <f>HYPERLINK("http://dict.youdao.com/w/"&amp;B2081,"有道")</f>
        <v/>
      </c>
    </row>
    <row r="2082">
      <c r="B2082" s="1" t="inlineStr">
        <is>
          <t>youngster</t>
        </is>
      </c>
      <c r="C2082" s="7">
        <f>"n. 年轻人；少年"</f>
        <v/>
      </c>
      <c r="G2082" s="18">
        <f>HYPERLINK("D:\python\英语学习\voices\"&amp;B2082&amp;"_1.mp3","BrE")</f>
        <v/>
      </c>
      <c r="H2082" s="18">
        <f>HYPERLINK("D:\python\英语学习\voices\"&amp;B2082&amp;"_2.mp3","AmE")</f>
        <v/>
      </c>
      <c r="I2082" s="18">
        <f>HYPERLINK("http://dict.youdao.com/w/"&amp;B2082,"有道")</f>
        <v/>
      </c>
    </row>
    <row r="2083">
      <c r="B2083" s="1" t="inlineStr">
        <is>
          <t>zeal</t>
        </is>
      </c>
      <c r="C2083" s="7">
        <f>"n. 热情；热心；热诚"</f>
        <v/>
      </c>
      <c r="G2083" s="18">
        <f>HYPERLINK("D:\python\英语学习\voices\"&amp;B2083&amp;"_1.mp3","BrE")</f>
        <v/>
      </c>
      <c r="H2083" s="18">
        <f>HYPERLINK("D:\python\英语学习\voices\"&amp;B2083&amp;"_2.mp3","AmE")</f>
        <v/>
      </c>
      <c r="I2083" s="18">
        <f>HYPERLINK("http://dict.youdao.com/w/"&amp;B2083,"有道")</f>
        <v/>
      </c>
    </row>
    <row customHeight="1" ht="71.25" r="2084">
      <c r="B2084" s="1" t="inlineStr">
        <is>
          <t>zigzag</t>
        </is>
      </c>
      <c r="C2084" s="7">
        <f>"adj. 曲折的；锯齿形的；之字形的"&amp;CHAR(10)&amp;"vt. 使成之字形；使曲折行进"&amp;CHAR(10)&amp;"vi. 曲折行进；作之字形行进"&amp;CHAR(10)&amp;"n. 之字形；Z字形"&amp;CHAR(10)&amp;"adv. 曲折地；之字形地；Z字形地"</f>
        <v/>
      </c>
      <c r="G2084" s="18">
        <f>HYPERLINK("D:\python\英语学习\voices\"&amp;B2084&amp;"_1.mp3","BrE")</f>
        <v/>
      </c>
      <c r="H2084" s="18">
        <f>HYPERLINK("D:\python\英语学习\voices\"&amp;B2084&amp;"_2.mp3","AmE")</f>
        <v/>
      </c>
      <c r="I2084" s="18">
        <f>HYPERLINK("http://dict.youdao.com/w/"&amp;B2084,"有道")</f>
        <v/>
      </c>
    </row>
    <row r="2085">
      <c r="B2085" s="1" t="inlineStr">
        <is>
          <t>zygote</t>
        </is>
      </c>
      <c r="C2085" s="7">
        <f>"n. 受精卵；接合子"</f>
        <v/>
      </c>
      <c r="E2085" s="6" t="inlineStr">
        <is>
          <t>x</t>
        </is>
      </c>
      <c r="G2085" s="18">
        <f>HYPERLINK("D:\python\英语学习\voices\"&amp;B2085&amp;"_1.mp3","BrE")</f>
        <v/>
      </c>
      <c r="H2085" s="18">
        <f>HYPERLINK("D:\python\英语学习\voices\"&amp;B2085&amp;"_2.mp3","AmE")</f>
        <v/>
      </c>
      <c r="I2085" s="18">
        <f>HYPERLINK("http://dict.youdao.com/w/"&amp;B2085,"有道")</f>
        <v/>
      </c>
    </row>
    <row customHeight="1" ht="28.5" r="2086">
      <c r="B2086" s="1" t="inlineStr">
        <is>
          <t>outrage</t>
        </is>
      </c>
      <c r="C2086" s="7">
        <f>"n. 愤怒，愤慨；暴行；侮辱"&amp;CHAR(10)&amp;"vt. 凌辱，强奸；对…施暴行；激起愤怒"</f>
        <v/>
      </c>
      <c r="G2086" s="18">
        <f>HYPERLINK("D:\python\英语学习\voices\"&amp;B2086&amp;"_1.mp3","BrE")</f>
        <v/>
      </c>
      <c r="H2086" s="18">
        <f>HYPERLINK("D:\python\英语学习\voices\"&amp;B2086&amp;"_2.mp3","AmE")</f>
        <v/>
      </c>
      <c r="I2086" s="18">
        <f>HYPERLINK("http://dict.youdao.com/w/"&amp;B2086,"有道")</f>
        <v/>
      </c>
    </row>
    <row customHeight="1" ht="42.75" r="2087">
      <c r="B2087" s="1" t="inlineStr">
        <is>
          <t>rage</t>
        </is>
      </c>
      <c r="C2087" s="7">
        <f>"n. 愤怒；狂暴，肆虐；情绪激动"&amp;CHAR(10)&amp;"vi. 大怒，发怒；流行，风行"&amp;CHAR(10)&amp;"n. (Rage)人名；(丹)拉厄"</f>
        <v/>
      </c>
      <c r="G2087" s="18">
        <f>HYPERLINK("D:\python\英语学习\voices\"&amp;B2087&amp;"_1.mp3","BrE")</f>
        <v/>
      </c>
      <c r="H2087" s="18">
        <f>HYPERLINK("D:\python\英语学习\voices\"&amp;B2087&amp;"_2.mp3","AmE")</f>
        <v/>
      </c>
      <c r="I2087" s="18">
        <f>HYPERLINK("http://dict.youdao.com/w/"&amp;B2087,"有道")</f>
        <v/>
      </c>
    </row>
    <row r="2088">
      <c r="B2088" s="1" t="inlineStr">
        <is>
          <t>outrageous</t>
        </is>
      </c>
      <c r="C2088" s="7">
        <f>"adj. 粗暴的；可恶的；令人吃惊的"</f>
        <v/>
      </c>
      <c r="G2088" s="18">
        <f>HYPERLINK("D:\python\英语学习\voices\"&amp;B2088&amp;"_1.mp3","BrE")</f>
        <v/>
      </c>
      <c r="H2088" s="18">
        <f>HYPERLINK("D:\python\英语学习\voices\"&amp;B2088&amp;"_2.mp3","AmE")</f>
        <v/>
      </c>
      <c r="I2088" s="18">
        <f>HYPERLINK("http://dict.youdao.com/w/"&amp;B2088,"有道")</f>
        <v/>
      </c>
    </row>
    <row r="2089">
      <c r="B2089" s="1" t="inlineStr">
        <is>
          <t>detect</t>
        </is>
      </c>
      <c r="C2089" s="7">
        <f>"vt. 察觉；发现；探测"</f>
        <v/>
      </c>
      <c r="G2089" s="18">
        <f>HYPERLINK("D:\python\英语学习\voices\"&amp;B2089&amp;"_1.mp3","BrE")</f>
        <v/>
      </c>
      <c r="H2089" s="18">
        <f>HYPERLINK("D:\python\英语学习\voices\"&amp;B2089&amp;"_2.mp3","AmE")</f>
        <v/>
      </c>
      <c r="I2089" s="18">
        <f>HYPERLINK("http://dict.youdao.com/w/"&amp;B2089,"有道")</f>
        <v/>
      </c>
    </row>
    <row customHeight="1" ht="57" r="2090">
      <c r="B2090" s="1" t="inlineStr">
        <is>
          <t>mold</t>
        </is>
      </c>
      <c r="C2090" s="7">
        <f>"vt. 塑造；使发霉；用模子制作"&amp;CHAR(10)&amp;"vi. 发霉"&amp;CHAR(10)&amp;"n. 霉菌；模子"&amp;CHAR(10)&amp;"n. (Mold)人名；(英)莫尔德"</f>
        <v/>
      </c>
      <c r="G2090" s="18">
        <f>HYPERLINK("D:\python\英语学习\voices\"&amp;B2090&amp;"_1.mp3","BrE")</f>
        <v/>
      </c>
      <c r="H2090" s="18">
        <f>HYPERLINK("D:\python\英语学习\voices\"&amp;B2090&amp;"_2.mp3","AmE")</f>
        <v/>
      </c>
      <c r="I2090" s="18">
        <f>HYPERLINK("http://dict.youdao.com/w/"&amp;B2090,"有道")</f>
        <v/>
      </c>
    </row>
    <row customHeight="1" ht="28.5" r="2091">
      <c r="B2091" s="1" t="inlineStr">
        <is>
          <t>terminal</t>
        </is>
      </c>
      <c r="C2091" s="7">
        <f>"n. 末端；终点；终端机；极限"&amp;CHAR(10)&amp;"adj. 末端的；终点的；晚期的"</f>
        <v/>
      </c>
      <c r="E2091" s="6" t="inlineStr">
        <is>
          <t>好多意思</t>
        </is>
      </c>
      <c r="G2091" s="18">
        <f>HYPERLINK("D:\python\英语学习\voices\"&amp;B2091&amp;"_1.mp3","BrE")</f>
        <v/>
      </c>
      <c r="H2091" s="18">
        <f>HYPERLINK("D:\python\英语学习\voices\"&amp;B2091&amp;"_2.mp3","AmE")</f>
        <v/>
      </c>
      <c r="I2091" s="18">
        <f>HYPERLINK("http://dict.youdao.com/w/"&amp;B2091,"有道")</f>
        <v/>
      </c>
    </row>
    <row customHeight="1" ht="28.5" r="2092">
      <c r="B2092" s="1" t="inlineStr">
        <is>
          <t>rhetoric</t>
        </is>
      </c>
      <c r="C2092" s="7">
        <f>"n. 修辞，修辞学；华丽的词藻"&amp;CHAR(10)&amp;"adj. 花言巧语的"</f>
        <v/>
      </c>
      <c r="G2092" s="18">
        <f>HYPERLINK("D:\python\英语学习\voices\"&amp;B2092&amp;"_1.mp3","BrE")</f>
        <v/>
      </c>
      <c r="H2092" s="18">
        <f>HYPERLINK("D:\python\英语学习\voices\"&amp;B2092&amp;"_2.mp3","AmE")</f>
        <v/>
      </c>
      <c r="I2092" s="18">
        <f>HYPERLINK("http://dict.youdao.com/w/"&amp;B2092,"有道")</f>
        <v/>
      </c>
    </row>
    <row r="2093">
      <c r="A2093" s="1" t="inlineStr">
        <is>
          <t>practice</t>
        </is>
      </c>
      <c r="B2093" s="1" t="inlineStr">
        <is>
          <t>preclude</t>
        </is>
      </c>
      <c r="C2093" s="7">
        <f>"vt. 排除；妨碍；阻止"</f>
        <v/>
      </c>
      <c r="D2093" s="16" t="inlineStr">
        <is>
          <t>pre(前)-clude(关闭)</t>
        </is>
      </c>
      <c r="G2093" s="18">
        <f>HYPERLINK("D:\python\英语学习\voices\"&amp;B2093&amp;"_1.mp3","BrE")</f>
        <v/>
      </c>
      <c r="H2093" s="18">
        <f>HYPERLINK("D:\python\英语学习\voices\"&amp;B2093&amp;"_2.mp3","AmE")</f>
        <v/>
      </c>
      <c r="I2093" s="18">
        <f>HYPERLINK("http://dict.youdao.com/w/"&amp;B2093,"有道")</f>
        <v/>
      </c>
    </row>
    <row customHeight="1" ht="42.75" r="2094">
      <c r="B2094" s="1" t="inlineStr">
        <is>
          <t>blossom</t>
        </is>
      </c>
      <c r="C2094" s="7">
        <f>"vi. 开花；兴旺；发展成"&amp;CHAR(10)&amp;"n. 花；开花期；兴旺期；花开的状态"&amp;CHAR(10)&amp;"n. (Blossom)人名；(英)布洛瑟姆"</f>
        <v/>
      </c>
      <c r="G2094" s="18">
        <f>HYPERLINK("D:\python\英语学习\voices\"&amp;B2094&amp;"_1.mp3","BrE")</f>
        <v/>
      </c>
      <c r="H2094" s="18">
        <f>HYPERLINK("D:\python\英语学习\voices\"&amp;B2094&amp;"_2.mp3","AmE")</f>
        <v/>
      </c>
      <c r="I2094" s="18">
        <f>HYPERLINK("http://dict.youdao.com/w/"&amp;B2094,"有道")</f>
        <v/>
      </c>
    </row>
    <row r="2095">
      <c r="B2095" s="1" t="inlineStr">
        <is>
          <t>spontaneous</t>
        </is>
      </c>
      <c r="C2095" s="7">
        <f>"adj. 自发的；自然的；无意识的"</f>
        <v/>
      </c>
      <c r="G2095" s="18">
        <f>HYPERLINK("D:\python\英语学习\voices\"&amp;B2095&amp;"_1.mp3","BrE")</f>
        <v/>
      </c>
      <c r="H2095" s="18">
        <f>HYPERLINK("D:\python\英语学习\voices\"&amp;B2095&amp;"_2.mp3","AmE")</f>
        <v/>
      </c>
      <c r="I2095" s="18">
        <f>HYPERLINK("http://dict.youdao.com/w/"&amp;B2095,"有道")</f>
        <v/>
      </c>
    </row>
    <row customHeight="1" ht="28.5" r="2096">
      <c r="B2096" s="1" t="inlineStr">
        <is>
          <t>trait</t>
        </is>
      </c>
      <c r="C2096" s="7">
        <f>"n. 特性，特点；品质；少许"&amp;CHAR(10)&amp;"n. (Trait)人名；(法)特雷"</f>
        <v/>
      </c>
      <c r="E2096" s="6" t="inlineStr">
        <is>
          <t>personality trait性格特点</t>
        </is>
      </c>
      <c r="G2096" s="18">
        <f>HYPERLINK("D:\python\英语学习\voices\"&amp;B2096&amp;"_1.mp3","BrE")</f>
        <v/>
      </c>
      <c r="H2096" s="18">
        <f>HYPERLINK("D:\python\英语学习\voices\"&amp;B2096&amp;"_2.mp3","AmE")</f>
        <v/>
      </c>
      <c r="I2096" s="18">
        <f>HYPERLINK("http://dict.youdao.com/w/"&amp;B2096,"有道")</f>
        <v/>
      </c>
    </row>
    <row customHeight="1" ht="42.75" r="2097">
      <c r="B2097" s="1" t="inlineStr">
        <is>
          <t>cord</t>
        </is>
      </c>
      <c r="C2097" s="7">
        <f>"n. 绳索；束缚"&amp;CHAR(10)&amp;"vt. 用绳子捆绑"&amp;CHAR(10)&amp;"n. (Cord)人名；(法)科尔；(英)科德"</f>
        <v/>
      </c>
      <c r="G2097" s="18">
        <f>HYPERLINK("D:\python\英语学习\voices\"&amp;B2097&amp;"_1.mp3","BrE")</f>
        <v/>
      </c>
      <c r="H2097" s="18">
        <f>HYPERLINK("D:\python\英语学习\voices\"&amp;B2097&amp;"_2.mp3","AmE")</f>
        <v/>
      </c>
      <c r="I2097" s="18">
        <f>HYPERLINK("http://dict.youdao.com/w/"&amp;B2097,"有道")</f>
        <v/>
      </c>
    </row>
    <row r="2098">
      <c r="A2098" s="1" t="inlineStr">
        <is>
          <t>practice</t>
        </is>
      </c>
      <c r="B2098" s="1" t="inlineStr">
        <is>
          <t>precursor</t>
        </is>
      </c>
      <c r="C2098" s="7">
        <f>"n. 先驱，前导"</f>
        <v/>
      </c>
      <c r="G2098" s="18">
        <f>HYPERLINK("D:\python\英语学习\voices\"&amp;B2098&amp;"_1.mp3","BrE")</f>
        <v/>
      </c>
      <c r="H2098" s="18">
        <f>HYPERLINK("D:\python\英语学习\voices\"&amp;B2098&amp;"_2.mp3","AmE")</f>
        <v/>
      </c>
      <c r="I2098" s="18">
        <f>HYPERLINK("http://dict.youdao.com/w/"&amp;B2098,"有道")</f>
        <v/>
      </c>
    </row>
    <row r="2099">
      <c r="B2099" s="1" t="inlineStr">
        <is>
          <t>coarse</t>
        </is>
      </c>
      <c r="C2099" s="7">
        <f>"adj. 粗糙的；粗俗的；下等的"</f>
        <v/>
      </c>
      <c r="G2099" s="18">
        <f>HYPERLINK("D:\python\英语学习\voices\"&amp;B2099&amp;"_1.mp3","BrE")</f>
        <v/>
      </c>
      <c r="H2099" s="18">
        <f>HYPERLINK("D:\python\英语学习\voices\"&amp;B2099&amp;"_2.mp3","AmE")</f>
        <v/>
      </c>
      <c r="I2099" s="18">
        <f>HYPERLINK("http://dict.youdao.com/w/"&amp;B2099,"有道")</f>
        <v/>
      </c>
    </row>
    <row customHeight="1" ht="57" r="2100">
      <c r="B2100" s="1" t="inlineStr">
        <is>
          <t>plant</t>
        </is>
      </c>
      <c r="C2100" s="7">
        <f>"n. 工厂，车间；植物；设备；庄稼"&amp;CHAR(10)&amp;"vt. 种植；培养；栽培；安置"&amp;CHAR(10)&amp;"vi. 种植"&amp;CHAR(10)&amp;"n. (Plant)人名；(英、西、意)普兰特；(法)普朗"</f>
        <v/>
      </c>
      <c r="E2100" s="6" t="inlineStr">
        <is>
          <t>好多意思</t>
        </is>
      </c>
      <c r="G2100" s="18">
        <f>HYPERLINK("D:\python\英语学习\voices\"&amp;B2100&amp;"_1.mp3","BrE")</f>
        <v/>
      </c>
      <c r="H2100" s="18">
        <f>HYPERLINK("D:\python\英语学习\voices\"&amp;B2100&amp;"_2.mp3","AmE")</f>
        <v/>
      </c>
      <c r="I2100" s="18">
        <f>HYPERLINK("http://dict.youdao.com/w/"&amp;B2100,"有道")</f>
        <v/>
      </c>
    </row>
    <row r="2101">
      <c r="A2101" s="1" t="inlineStr">
        <is>
          <t>unnecessary</t>
        </is>
      </c>
      <c r="B2101" s="1" t="inlineStr">
        <is>
          <t>anvil</t>
        </is>
      </c>
      <c r="C2101" s="7">
        <f>"n. 铁砧；[解剖] 砧骨"</f>
        <v/>
      </c>
      <c r="G2101" s="18">
        <f>HYPERLINK("D:\python\英语学习\voices\"&amp;B2101&amp;"_1.mp3","BrE")</f>
        <v/>
      </c>
      <c r="H2101" s="18">
        <f>HYPERLINK("D:\python\英语学习\voices\"&amp;B2101&amp;"_2.mp3","AmE")</f>
        <v/>
      </c>
      <c r="I2101" s="18">
        <f>HYPERLINK("http://dict.youdao.com/w/"&amp;B2101,"有道")</f>
        <v/>
      </c>
    </row>
    <row r="2102">
      <c r="B2102" s="1" t="inlineStr">
        <is>
          <t>cactus</t>
        </is>
      </c>
      <c r="C2102" s="7">
        <f>"n. [园艺] 仙人掌"</f>
        <v/>
      </c>
      <c r="G2102" s="18">
        <f>HYPERLINK("D:\python\英语学习\voices\"&amp;B2102&amp;"_1.mp3","BrE")</f>
        <v/>
      </c>
      <c r="H2102" s="18">
        <f>HYPERLINK("D:\python\英语学习\voices\"&amp;B2102&amp;"_2.mp3","AmE")</f>
        <v/>
      </c>
      <c r="I2102" s="18">
        <f>HYPERLINK("http://dict.youdao.com/w/"&amp;B2102,"有道")</f>
        <v/>
      </c>
    </row>
    <row r="2103">
      <c r="A2103" s="1" t="inlineStr">
        <is>
          <t>unnecessary</t>
        </is>
      </c>
      <c r="B2103" s="1" t="inlineStr">
        <is>
          <t>cauldron</t>
        </is>
      </c>
      <c r="C2103" s="7">
        <f>"n. 大汽锅，大锅；煮皂锅"</f>
        <v/>
      </c>
      <c r="G2103" s="18">
        <f>HYPERLINK("D:\python\英语学习\voices\"&amp;B2103&amp;"_1.mp3","BrE")</f>
        <v/>
      </c>
      <c r="H2103" s="18">
        <f>HYPERLINK("D:\python\英语学习\voices\"&amp;B2103&amp;"_2.mp3","AmE")</f>
        <v/>
      </c>
      <c r="I2103" s="18">
        <f>HYPERLINK("http://dict.youdao.com/w/"&amp;B2103,"有道")</f>
        <v/>
      </c>
    </row>
    <row customHeight="1" ht="57" r="2104">
      <c r="B2104" s="1" t="inlineStr">
        <is>
          <t>concrete</t>
        </is>
      </c>
      <c r="C2104" s="7">
        <f>"adj. 混凝土的；实在的，具体的；有形的"&amp;CHAR(10)&amp;"vi. 凝结"&amp;CHAR(10)&amp;"vt. 使凝固；用混凝土修筑"&amp;CHAR(10)&amp;"n. 具体物；凝结物"</f>
        <v/>
      </c>
      <c r="E2104" s="6" t="inlineStr">
        <is>
          <t>象征意义-把抽象的东西具体化</t>
        </is>
      </c>
      <c r="G2104" s="18">
        <f>HYPERLINK("D:\python\英语学习\voices\"&amp;B2104&amp;"_1.mp3","BrE")</f>
        <v/>
      </c>
      <c r="H2104" s="18">
        <f>HYPERLINK("D:\python\英语学习\voices\"&amp;B2104&amp;"_2.mp3","AmE")</f>
        <v/>
      </c>
      <c r="I2104" s="18">
        <f>HYPERLINK("http://dict.youdao.com/w/"&amp;B2104,"有道")</f>
        <v/>
      </c>
    </row>
    <row customHeight="1" ht="28.5" r="2105">
      <c r="B2105" s="1" t="inlineStr">
        <is>
          <t>cyan</t>
        </is>
      </c>
      <c r="C2105" s="7">
        <f>"n. 蓝绿色"&amp;CHAR(10)&amp;"adj. 蓝绿色的"</f>
        <v/>
      </c>
      <c r="G2105" s="18">
        <f>HYPERLINK("D:\python\英语学习\voices\"&amp;B2105&amp;"_1.mp3","BrE")</f>
        <v/>
      </c>
      <c r="H2105" s="18">
        <f>HYPERLINK("D:\python\英语学习\voices\"&amp;B2105&amp;"_2.mp3","AmE")</f>
        <v/>
      </c>
      <c r="I2105" s="18">
        <f>HYPERLINK("http://dict.youdao.com/w/"&amp;B2105,"有道")</f>
        <v/>
      </c>
    </row>
    <row customHeight="1" ht="42.75" r="2106">
      <c r="B2106" s="1" t="inlineStr">
        <is>
          <t>magenta</t>
        </is>
      </c>
      <c r="C2106" s="7">
        <f>"n. 品红；洋红；红色苯胺染料"&amp;CHAR(10)&amp;"adj. 洋红色的；品红色的"&amp;CHAR(10)&amp;"n. (Magenta)人名；(意)马真塔"</f>
        <v/>
      </c>
      <c r="G2106" s="18">
        <f>HYPERLINK("D:\python\英语学习\voices\"&amp;B2106&amp;"_1.mp3","BrE")</f>
        <v/>
      </c>
      <c r="H2106" s="18">
        <f>HYPERLINK("D:\python\英语学习\voices\"&amp;B2106&amp;"_2.mp3","AmE")</f>
        <v/>
      </c>
      <c r="I2106" s="18">
        <f>HYPERLINK("http://dict.youdao.com/w/"&amp;B2106,"有道")</f>
        <v/>
      </c>
    </row>
    <row customHeight="1" ht="42.75" r="2107">
      <c r="B2107" s="1" t="inlineStr">
        <is>
          <t>sliver</t>
        </is>
      </c>
      <c r="C2107" s="7">
        <f>"n. 梳毛，梳棉；裂片"&amp;CHAR(10)&amp;"vi. 成为薄片；裂成小片"&amp;CHAR(10)&amp;"vt. 使成薄片；使裂成小片"</f>
        <v/>
      </c>
      <c r="G2107" s="18">
        <f>HYPERLINK("D:\python\英语学习\voices\"&amp;B2107&amp;"_1.mp3","BrE")</f>
        <v/>
      </c>
      <c r="H2107" s="18">
        <f>HYPERLINK("D:\python\英语学习\voices\"&amp;B2107&amp;"_2.mp3","AmE")</f>
        <v/>
      </c>
      <c r="I2107" s="18">
        <f>HYPERLINK("http://dict.youdao.com/w/"&amp;B2107,"有道")</f>
        <v/>
      </c>
    </row>
    <row r="2108">
      <c r="B2108" s="1" t="inlineStr">
        <is>
          <t>dispenser</t>
        </is>
      </c>
      <c r="C2108" s="7">
        <f>"n. 药剂师；施与者；分配者；自动售货机"</f>
        <v/>
      </c>
      <c r="G2108" s="18">
        <f>HYPERLINK("D:\python\英语学习\voices\"&amp;B2108&amp;"_1.mp3","BrE")</f>
        <v/>
      </c>
      <c r="H2108" s="18">
        <f>HYPERLINK("D:\python\英语学习\voices\"&amp;B2108&amp;"_2.mp3","AmE")</f>
        <v/>
      </c>
      <c r="I2108" s="18">
        <f>HYPERLINK("http://dict.youdao.com/w/"&amp;B2108,"有道")</f>
        <v/>
      </c>
    </row>
    <row customHeight="1" ht="28.5" r="2109">
      <c r="A2109" s="1" t="inlineStr">
        <is>
          <t>unnecessary</t>
        </is>
      </c>
      <c r="B2109" s="1" t="inlineStr">
        <is>
          <t>acacia</t>
        </is>
      </c>
      <c r="C2109" s="7">
        <f>"n. 阿拉伯树胶；刺槐；金合欢属植物"&amp;CHAR(10)&amp;"n. (Acacia)人名；(意)阿卡恰"</f>
        <v/>
      </c>
      <c r="G2109" s="18">
        <f>HYPERLINK("D:\python\英语学习\voices\"&amp;B2109&amp;"_1.mp3","BrE")</f>
        <v/>
      </c>
      <c r="H2109" s="18">
        <f>HYPERLINK("D:\python\英语学习\voices\"&amp;B2109&amp;"_2.mp3","AmE")</f>
        <v/>
      </c>
      <c r="I2109" s="18">
        <f>HYPERLINK("http://dict.youdao.com/w/"&amp;B2109,"有道")</f>
        <v/>
      </c>
    </row>
    <row customHeight="1" ht="28.5" r="2110">
      <c r="A2110" s="1" t="inlineStr">
        <is>
          <t>unnecessary</t>
        </is>
      </c>
      <c r="B2110" s="1" t="inlineStr">
        <is>
          <t>brich</t>
        </is>
      </c>
      <c r="C2110" s="7">
        <f>"n. 桦树"&amp;CHAR(10)&amp;"n. (Brich)人名；(德)布里希；(捷)布里赫"</f>
        <v/>
      </c>
      <c r="G2110" s="18">
        <f>HYPERLINK("D:\python\英语学习\voices\"&amp;B2110&amp;"_1.mp3","BrE")</f>
        <v/>
      </c>
      <c r="H2110" s="18">
        <f>HYPERLINK("D:\python\英语学习\voices\"&amp;B2110&amp;"_2.mp3","AmE")</f>
        <v/>
      </c>
      <c r="I2110" s="18">
        <f>HYPERLINK("http://dict.youdao.com/w/"&amp;B2110,"有道")</f>
        <v/>
      </c>
    </row>
    <row r="2111">
      <c r="A2111" s="1" t="inlineStr">
        <is>
          <t>unnecessary</t>
        </is>
      </c>
      <c r="B2111" s="1" t="inlineStr">
        <is>
          <t>fern</t>
        </is>
      </c>
      <c r="C2111" s="7">
        <f>"n. [植] 蕨；[植] 蕨类植物"</f>
        <v/>
      </c>
      <c r="G2111" s="18">
        <f>HYPERLINK("D:\python\英语学习\voices\"&amp;B2111&amp;"_1.mp3","BrE")</f>
        <v/>
      </c>
      <c r="H2111" s="18">
        <f>HYPERLINK("D:\python\英语学习\voices\"&amp;B2111&amp;"_2.mp3","AmE")</f>
        <v/>
      </c>
      <c r="I2111" s="18">
        <f>HYPERLINK("http://dict.youdao.com/w/"&amp;B2111,"有道")</f>
        <v/>
      </c>
    </row>
    <row customHeight="1" ht="42.75" r="2112">
      <c r="B2112" s="1" t="inlineStr">
        <is>
          <t>emerald</t>
        </is>
      </c>
      <c r="C2112" s="7">
        <f>"n. 绿宝石；[宝] 祖母绿；翠绿色"&amp;CHAR(10)&amp;"adj. 翠绿色的"&amp;CHAR(10)&amp;"n. (Emerald)人名；(英)埃默拉尔德(女子教名)"</f>
        <v/>
      </c>
      <c r="G2112" s="18">
        <f>HYPERLINK("D:\python\英语学习\voices\"&amp;B2112&amp;"_1.mp3","BrE")</f>
        <v/>
      </c>
      <c r="H2112" s="18">
        <f>HYPERLINK("D:\python\英语学习\voices\"&amp;B2112&amp;"_2.mp3","AmE")</f>
        <v/>
      </c>
      <c r="I2112" s="18">
        <f>HYPERLINK("http://dict.youdao.com/w/"&amp;B2112,"有道")</f>
        <v/>
      </c>
    </row>
    <row r="2113">
      <c r="B2113" s="1" t="inlineStr">
        <is>
          <t>tulip</t>
        </is>
      </c>
      <c r="C2113" s="7">
        <f>"n. 郁金香"</f>
        <v/>
      </c>
      <c r="G2113" s="18">
        <f>HYPERLINK("D:\python\英语学习\voices\"&amp;B2113&amp;"_1.mp3","BrE")</f>
        <v/>
      </c>
      <c r="H2113" s="18">
        <f>HYPERLINK("D:\python\英语学习\voices\"&amp;B2113&amp;"_2.mp3","AmE")</f>
        <v/>
      </c>
      <c r="I2113" s="18">
        <f>HYPERLINK("http://dict.youdao.com/w/"&amp;B2113,"有道")</f>
        <v/>
      </c>
    </row>
    <row customHeight="1" ht="57" r="2114">
      <c r="B2114" s="1" t="inlineStr">
        <is>
          <t>pane</t>
        </is>
      </c>
      <c r="C2114" s="7">
        <f>"n. 窗格；边；面；窗格玻璃；嵌板"&amp;CHAR(10)&amp;"vt. 装窗玻璃于；镶嵌板于"&amp;CHAR(10)&amp;"n. (Pane)人名；(老)班；(英)潘恩；(德、西、意、塞、印尼)帕内"</f>
        <v/>
      </c>
      <c r="G2114" s="18">
        <f>HYPERLINK("D:\python\英语学习\voices\"&amp;B2114&amp;"_1.mp3","BrE")</f>
        <v/>
      </c>
      <c r="H2114" s="18">
        <f>HYPERLINK("D:\python\英语学习\voices\"&amp;B2114&amp;"_2.mp3","AmE")</f>
        <v/>
      </c>
      <c r="I2114" s="18">
        <f>HYPERLINK("http://dict.youdao.com/w/"&amp;B2114,"有道")</f>
        <v/>
      </c>
    </row>
    <row r="2115">
      <c r="B2115" s="1" t="inlineStr">
        <is>
          <t>terracotta</t>
        </is>
      </c>
      <c r="C2115" s="7">
        <f>"n. 陶瓦；赤土陶器；赤土色"</f>
        <v/>
      </c>
      <c r="G2115" s="18">
        <f>HYPERLINK("D:\python\英语学习\voices\"&amp;B2115&amp;"_1.mp3","BrE")</f>
        <v/>
      </c>
      <c r="H2115" s="18">
        <f>HYPERLINK("D:\python\英语学习\voices\"&amp;B2115&amp;"_2.mp3","AmE")</f>
        <v/>
      </c>
      <c r="I2115" s="18">
        <f>HYPERLINK("http://dict.youdao.com/w/"&amp;B2115,"有道")</f>
        <v/>
      </c>
    </row>
    <row r="2116">
      <c r="A2116" s="1" t="inlineStr">
        <is>
          <t>unnecessary</t>
        </is>
      </c>
      <c r="B2116" s="1" t="inlineStr">
        <is>
          <t>obsidian</t>
        </is>
      </c>
      <c r="C2116" s="7">
        <f>"n. 黑曜石"</f>
        <v/>
      </c>
      <c r="G2116" s="18">
        <f>HYPERLINK("D:\python\英语学习\voices\"&amp;B2116&amp;"_1.mp3","BrE")</f>
        <v/>
      </c>
      <c r="H2116" s="18">
        <f>HYPERLINK("D:\python\英语学习\voices\"&amp;B2116&amp;"_2.mp3","AmE")</f>
        <v/>
      </c>
      <c r="I2116" s="18">
        <f>HYPERLINK("http://dict.youdao.com/w/"&amp;B2116,"有道")</f>
        <v/>
      </c>
    </row>
    <row customHeight="1" ht="28.5" r="2117">
      <c r="B2117" s="1" t="inlineStr">
        <is>
          <t>glow</t>
        </is>
      </c>
      <c r="C2117" s="7">
        <f>"vi. 发热；洋溢；绚丽夺目"&amp;CHAR(10)&amp;"n. 灼热；色彩鲜艳；兴高采烈"</f>
        <v/>
      </c>
      <c r="G2117" s="18">
        <f>HYPERLINK("D:\python\英语学习\voices\"&amp;B2117&amp;"_1.mp3","BrE")</f>
        <v/>
      </c>
      <c r="H2117" s="18">
        <f>HYPERLINK("D:\python\英语学习\voices\"&amp;B2117&amp;"_2.mp3","AmE")</f>
        <v/>
      </c>
      <c r="I2117" s="18">
        <f>HYPERLINK("http://dict.youdao.com/w/"&amp;B2117,"有道")</f>
        <v/>
      </c>
    </row>
    <row customHeight="1" ht="28.5" r="2118">
      <c r="B2118" s="1" t="inlineStr">
        <is>
          <t>hardened</t>
        </is>
      </c>
      <c r="C2118" s="7">
        <f>"adj. 变硬的；坚定的"&amp;CHAR(10)&amp;"v. 坚定，变硬（harden的过去分词）"</f>
        <v/>
      </c>
      <c r="G2118" s="18">
        <f>HYPERLINK("D:\python\英语学习\voices\"&amp;B2118&amp;"_1.mp3","BrE")</f>
        <v/>
      </c>
      <c r="H2118" s="18">
        <f>HYPERLINK("D:\python\英语学习\voices\"&amp;B2118&amp;"_2.mp3","AmE")</f>
        <v/>
      </c>
      <c r="I2118" s="18">
        <f>HYPERLINK("http://dict.youdao.com/w/"&amp;B2118,"有道")</f>
        <v/>
      </c>
    </row>
    <row r="2119">
      <c r="A2119" s="1" t="inlineStr">
        <is>
          <t>unnecessary</t>
        </is>
      </c>
      <c r="B2119" s="1" t="inlineStr">
        <is>
          <t>trapdoor</t>
        </is>
      </c>
      <c r="C2119" s="7">
        <f>"n. 地板门；活板门；井盖门"</f>
        <v/>
      </c>
      <c r="G2119" s="18">
        <f>HYPERLINK("D:\python\英语学习\voices\"&amp;B2119&amp;"_1.mp3","BrE")</f>
        <v/>
      </c>
      <c r="H2119" s="18">
        <f>HYPERLINK("D:\python\英语学习\voices\"&amp;B2119&amp;"_2.mp3","AmE")</f>
        <v/>
      </c>
      <c r="I2119" s="18">
        <f>HYPERLINK("http://dict.youdao.com/w/"&amp;B2119,"有道")</f>
        <v/>
      </c>
    </row>
    <row r="2120">
      <c r="B2120" s="1" t="inlineStr">
        <is>
          <t>jukebox</t>
        </is>
      </c>
      <c r="C2120" s="7">
        <f>"n. 自动唱机"</f>
        <v/>
      </c>
      <c r="G2120" s="18">
        <f>HYPERLINK("D:\python\英语学习\voices\"&amp;B2120&amp;"_1.mp3","BrE")</f>
        <v/>
      </c>
      <c r="H2120" s="18">
        <f>HYPERLINK("D:\python\英语学习\voices\"&amp;B2120&amp;"_2.mp3","AmE")</f>
        <v/>
      </c>
      <c r="I2120" s="18">
        <f>HYPERLINK("http://dict.youdao.com/w/"&amp;B2120,"有道")</f>
        <v/>
      </c>
    </row>
    <row customHeight="1" ht="42.75" r="2121">
      <c r="B2121" s="1" t="inlineStr">
        <is>
          <t>opaque</t>
        </is>
      </c>
      <c r="C2121" s="7">
        <f>"adj. 不透明的；不传热的；迟钝的"&amp;CHAR(10)&amp;"n. 不透明物"&amp;CHAR(10)&amp;"vt. 使不透明；使不反光"</f>
        <v/>
      </c>
      <c r="G2121" s="18">
        <f>HYPERLINK("D:\python\英语学习\voices\"&amp;B2121&amp;"_1.mp3","BrE")</f>
        <v/>
      </c>
      <c r="H2121" s="18">
        <f>HYPERLINK("D:\python\英语学习\voices\"&amp;B2121&amp;"_2.mp3","AmE")</f>
        <v/>
      </c>
      <c r="I2121" s="18">
        <f>HYPERLINK("http://dict.youdao.com/w/"&amp;B2121,"有道")</f>
        <v/>
      </c>
    </row>
    <row customHeight="1" ht="28.5" r="2122">
      <c r="B2122" s="1" t="inlineStr">
        <is>
          <t>magma</t>
        </is>
      </c>
      <c r="C2122" s="7">
        <f>"n. [地质] 岩浆；糊剂"&amp;CHAR(10)&amp;"n. (Magma)人名；(英)马格马"</f>
        <v/>
      </c>
      <c r="G2122" s="18">
        <f>HYPERLINK("D:\python\英语学习\voices\"&amp;B2122&amp;"_1.mp3","BrE")</f>
        <v/>
      </c>
      <c r="H2122" s="18">
        <f>HYPERLINK("D:\python\英语学习\voices\"&amp;B2122&amp;"_2.mp3","AmE")</f>
        <v/>
      </c>
      <c r="I2122" s="18">
        <f>HYPERLINK("http://dict.youdao.com/w/"&amp;B2122,"有道")</f>
        <v/>
      </c>
    </row>
    <row r="2123">
      <c r="B2123" s="1" t="inlineStr">
        <is>
          <t>nether</t>
        </is>
      </c>
      <c r="C2123" s="7">
        <f>"adj. 下面的，下方的；地下的，下界的"</f>
        <v/>
      </c>
      <c r="G2123" s="18">
        <f>HYPERLINK("D:\python\英语学习\voices\"&amp;B2123&amp;"_1.mp3","BrE")</f>
        <v/>
      </c>
      <c r="H2123" s="18">
        <f>HYPERLINK("D:\python\英语学习\voices\"&amp;B2123&amp;"_2.mp3","AmE")</f>
        <v/>
      </c>
      <c r="I2123" s="18">
        <f>HYPERLINK("http://dict.youdao.com/w/"&amp;B2123,"有道")</f>
        <v/>
      </c>
    </row>
    <row customHeight="1" ht="42.75" r="2124">
      <c r="A2124" s="1" t="inlineStr">
        <is>
          <t>unnecessary</t>
        </is>
      </c>
      <c r="B2124" s="1" t="inlineStr">
        <is>
          <t>chisel</t>
        </is>
      </c>
      <c r="C2124" s="7">
        <f>"vt. 雕，刻；凿；欺骗"&amp;CHAR(10)&amp;"vi. 雕，刻；凿；欺骗"&amp;CHAR(10)&amp;"n. 凿子"</f>
        <v/>
      </c>
      <c r="G2124" s="18">
        <f>HYPERLINK("D:\python\英语学习\voices\"&amp;B2124&amp;"_1.mp3","BrE")</f>
        <v/>
      </c>
      <c r="H2124" s="18">
        <f>HYPERLINK("D:\python\英语学习\voices\"&amp;B2124&amp;"_2.mp3","AmE")</f>
        <v/>
      </c>
      <c r="I2124" s="18">
        <f>HYPERLINK("http://dict.youdao.com/w/"&amp;B2124,"有道")</f>
        <v/>
      </c>
    </row>
    <row customHeight="1" ht="42.75" r="2125">
      <c r="B2125" s="1" t="inlineStr">
        <is>
          <t>rail</t>
        </is>
      </c>
      <c r="C2125" s="7">
        <f>"n. 铁轨；扶手；横杆；围栏"&amp;CHAR(10)&amp;"vi. 抱怨；责骂"&amp;CHAR(10)&amp;"vt. 铺铁轨；以横木围栏"</f>
        <v/>
      </c>
      <c r="E2125" s="6" t="inlineStr">
        <is>
          <t>好多意思</t>
        </is>
      </c>
      <c r="G2125" s="18">
        <f>HYPERLINK("D:\python\英语学习\voices\"&amp;B2125&amp;"_1.mp3","BrE")</f>
        <v/>
      </c>
      <c r="H2125" s="18">
        <f>HYPERLINK("D:\python\英语学习\voices\"&amp;B2125&amp;"_2.mp3","AmE")</f>
        <v/>
      </c>
      <c r="I2125" s="18">
        <f>HYPERLINK("http://dict.youdao.com/w/"&amp;B2125,"有道")</f>
        <v/>
      </c>
    </row>
    <row r="2126">
      <c r="A2126" s="1" t="inlineStr">
        <is>
          <t>unnecessary</t>
        </is>
      </c>
      <c r="B2126" s="1" t="inlineStr">
        <is>
          <t>granite</t>
        </is>
      </c>
      <c r="C2126" s="7">
        <f>"n. 花岗岩；坚毅；冷酷无情"</f>
        <v/>
      </c>
      <c r="G2126" s="18">
        <f>HYPERLINK("D:\python\英语学习\voices\"&amp;B2126&amp;"_1.mp3","BrE")</f>
        <v/>
      </c>
      <c r="H2126" s="18">
        <f>HYPERLINK("D:\python\英语学习\voices\"&amp;B2126&amp;"_2.mp3","AmE")</f>
        <v/>
      </c>
      <c r="I2126" s="18">
        <f>HYPERLINK("http://dict.youdao.com/w/"&amp;B2126,"有道")</f>
        <v/>
      </c>
    </row>
    <row customHeight="1" ht="28.5" r="2127">
      <c r="B2127" s="1" t="inlineStr">
        <is>
          <t>slab</t>
        </is>
      </c>
      <c r="C2127" s="7">
        <f>"n. 厚板，平板；混凝土路面；厚片"&amp;CHAR(10)&amp;"vt. 把…分成厚片；用石板铺"</f>
        <v/>
      </c>
      <c r="G2127" s="18">
        <f>HYPERLINK("D:\python\英语学习\voices\"&amp;B2127&amp;"_1.mp3","BrE")</f>
        <v/>
      </c>
      <c r="H2127" s="18">
        <f>HYPERLINK("D:\python\英语学习\voices\"&amp;B2127&amp;"_2.mp3","AmE")</f>
        <v/>
      </c>
      <c r="I2127" s="18">
        <f>HYPERLINK("http://dict.youdao.com/w/"&amp;B2127,"有道")</f>
        <v/>
      </c>
    </row>
    <row r="2128">
      <c r="B2128" s="1" t="inlineStr">
        <is>
          <t>tripod</t>
        </is>
      </c>
      <c r="C2128" s="7">
        <f>"n. [摄] 三脚架；三脚桌"</f>
        <v/>
      </c>
      <c r="G2128" s="18">
        <f>HYPERLINK("D:\python\英语学习\voices\"&amp;B2128&amp;"_1.mp3","BrE")</f>
        <v/>
      </c>
      <c r="H2128" s="18">
        <f>HYPERLINK("D:\python\英语学习\voices\"&amp;B2128&amp;"_2.mp3","AmE")</f>
        <v/>
      </c>
      <c r="I2128" s="18">
        <f>HYPERLINK("http://dict.youdao.com/w/"&amp;B2128,"有道")</f>
        <v/>
      </c>
    </row>
    <row r="2129">
      <c r="B2129" s="1" t="inlineStr">
        <is>
          <t>criteria</t>
        </is>
      </c>
      <c r="C2129" s="7">
        <f>"n. 标准，条件（criterion的复数）"</f>
        <v/>
      </c>
      <c r="E2129" s="6" t="inlineStr">
        <is>
          <t>注意发音-/ai/</t>
        </is>
      </c>
      <c r="G2129" s="18">
        <f>HYPERLINK("D:\python\英语学习\voices\"&amp;B2129&amp;"_1.mp3","BrE")</f>
        <v/>
      </c>
      <c r="H2129" s="18">
        <f>HYPERLINK("D:\python\英语学习\voices\"&amp;B2129&amp;"_2.mp3","AmE")</f>
        <v/>
      </c>
      <c r="I2129" s="18">
        <f>HYPERLINK("http://dict.youdao.com/w/"&amp;B2129,"有道")</f>
        <v/>
      </c>
    </row>
    <row customHeight="1" ht="28.5" r="2130">
      <c r="B2130" s="1" t="inlineStr">
        <is>
          <t>invocation</t>
        </is>
      </c>
      <c r="C2130" s="7">
        <f>"n. 祈祷；符咒；【法律】(法院对另案的)文件调取；(法权的)行使"</f>
        <v/>
      </c>
      <c r="G2130" s="18">
        <f>HYPERLINK("D:\python\英语学习\voices\"&amp;B2130&amp;"_1.mp3","BrE")</f>
        <v/>
      </c>
      <c r="H2130" s="18">
        <f>HYPERLINK("D:\python\英语学习\voices\"&amp;B2130&amp;"_2.mp3","AmE")</f>
        <v/>
      </c>
      <c r="I2130" s="18">
        <f>HYPERLINK("http://dict.youdao.com/w/"&amp;B2130,"有道")</f>
        <v/>
      </c>
    </row>
    <row customHeight="1" ht="42.75" r="2131">
      <c r="B2131" s="1" t="inlineStr">
        <is>
          <t>parse</t>
        </is>
      </c>
      <c r="C2131" s="7">
        <f>"vt. 解析；从语法上分析"&amp;CHAR(10)&amp;"vi. 理解；从语法上分析"&amp;CHAR(10)&amp;"n. 从语法上分析；分列"</f>
        <v/>
      </c>
      <c r="G2131" s="18">
        <f>HYPERLINK("D:\python\英语学习\voices\"&amp;B2131&amp;"_1.mp3","BrE")</f>
        <v/>
      </c>
      <c r="H2131" s="18">
        <f>HYPERLINK("D:\python\英语学习\voices\"&amp;B2131&amp;"_2.mp3","AmE")</f>
        <v/>
      </c>
      <c r="I2131" s="18">
        <f>HYPERLINK("http://dict.youdao.com/w/"&amp;B2131,"有道")</f>
        <v/>
      </c>
    </row>
    <row customHeight="1" ht="85.5" r="2132">
      <c r="B2132" s="1" t="inlineStr">
        <is>
          <t>salt</t>
        </is>
      </c>
      <c r="C2132" s="7">
        <f>"n. 盐；风趣，刺激性"&amp;CHAR(10)&amp;"adj. 咸水的；含盐的，咸味的；盐腌的；猥亵的"&amp;CHAR(10)&amp;"vt. 用盐腌；给…加盐；将盐撒在道路上使冰或雪融化"&amp;CHAR(10)&amp;"n. (Salt)人名；(西)萨尔特；(英)索尔特"</f>
        <v/>
      </c>
      <c r="E2132" s="6" t="inlineStr">
        <is>
          <t>好多意思</t>
        </is>
      </c>
      <c r="G2132" s="18">
        <f>HYPERLINK("D:\python\英语学习\voices\"&amp;B2132&amp;"_1.mp3","BrE")</f>
        <v/>
      </c>
      <c r="H2132" s="18">
        <f>HYPERLINK("D:\python\英语学习\voices\"&amp;B2132&amp;"_2.mp3","AmE")</f>
        <v/>
      </c>
      <c r="I2132" s="18">
        <f>HYPERLINK("http://dict.youdao.com/w/"&amp;B2132,"有道")</f>
        <v/>
      </c>
    </row>
    <row customHeight="1" ht="28.5" r="2133">
      <c r="B2133" s="1" t="inlineStr">
        <is>
          <t>session</t>
        </is>
      </c>
      <c r="C2133" s="7">
        <f>"n. 会议；（法庭的）开庭；（议会等的）开会；学期；讲习会"</f>
        <v/>
      </c>
      <c r="G2133" s="18">
        <f>HYPERLINK("D:\python\英语学习\voices\"&amp;B2133&amp;"_1.mp3","BrE")</f>
        <v/>
      </c>
      <c r="H2133" s="18">
        <f>HYPERLINK("D:\python\英语学习\voices\"&amp;B2133&amp;"_2.mp3","AmE")</f>
        <v/>
      </c>
      <c r="I2133" s="18">
        <f>HYPERLINK("http://dict.youdao.com/w/"&amp;B2133,"有道")</f>
        <v/>
      </c>
    </row>
    <row r="2134">
      <c r="B2134" s="1" t="inlineStr">
        <is>
          <t>immutable</t>
        </is>
      </c>
      <c r="C2134" s="7">
        <f>"adj. 不变的；不可变的；不能变的"</f>
        <v/>
      </c>
      <c r="D2134" s="6" t="inlineStr">
        <is>
          <t>alter what is changeable, and accept what is immutable</t>
        </is>
      </c>
      <c r="G2134" s="18">
        <f>HYPERLINK("D:\python\英语学习\voices\"&amp;B2134&amp;"_1.mp3","BrE")</f>
        <v/>
      </c>
      <c r="H2134" s="18">
        <f>HYPERLINK("D:\python\英语学习\voices\"&amp;B2134&amp;"_2.mp3","AmE")</f>
        <v/>
      </c>
      <c r="I2134" s="18">
        <f>HYPERLINK("http://dict.youdao.com/w/"&amp;B2134,"有道")</f>
        <v/>
      </c>
    </row>
    <row r="2135">
      <c r="B2135" s="1" t="inlineStr">
        <is>
          <t>etc</t>
        </is>
      </c>
      <c r="C2135" s="7">
        <f>"adv. 等等，及其他"</f>
        <v/>
      </c>
      <c r="E2135" s="6" t="inlineStr">
        <is>
          <t>注意发音-et 发it的音</t>
        </is>
      </c>
      <c r="G2135" s="18">
        <f>HYPERLINK("D:\python\英语学习\voices\"&amp;B2135&amp;"_1.mp3","BrE")</f>
        <v/>
      </c>
      <c r="H2135" s="18">
        <f>HYPERLINK("D:\python\英语学习\voices\"&amp;B2135&amp;"_2.mp3","AmE")</f>
        <v/>
      </c>
      <c r="I2135" s="18">
        <f>HYPERLINK("http://dict.youdao.com/w/"&amp;B2135,"有道")</f>
        <v/>
      </c>
    </row>
    <row customHeight="1" ht="42.75" r="2136">
      <c r="A2136" s="1" t="inlineStr">
        <is>
          <t>practice</t>
        </is>
      </c>
      <c r="B2136" s="1" t="inlineStr">
        <is>
          <t>preoccupy</t>
        </is>
      </c>
      <c r="C2136" s="7">
        <f>"vt. 迷住；使全神贯注"</f>
        <v/>
      </c>
      <c r="E2136" s="6" t="inlineStr">
        <is>
          <t>表示心事重重心不在焉或全神贯注</t>
        </is>
      </c>
      <c r="F2136" s="7">
        <f>"she seemed preoccupied all the time I was talking to her"&amp;CHAR(10)&amp;"
This began to preoccupy him at the end of his life, when he wondered whether Russia could go directly to socialism."</f>
        <v/>
      </c>
      <c r="G2136" s="18">
        <f>HYPERLINK("D:\python\英语学习\voices\"&amp;B2136&amp;"_1.mp3","BrE")</f>
        <v/>
      </c>
      <c r="H2136" s="18">
        <f>HYPERLINK("D:\python\英语学习\voices\"&amp;B2136&amp;"_2.mp3","AmE")</f>
        <v/>
      </c>
      <c r="I2136" s="18">
        <f>HYPERLINK("http://dict.youdao.com/w/"&amp;B2136,"有道")</f>
        <v/>
      </c>
    </row>
    <row r="2137">
      <c r="A2137" s="1" t="inlineStr">
        <is>
          <t>unnecessary</t>
        </is>
      </c>
      <c r="B2137" s="1" t="inlineStr">
        <is>
          <t>biome</t>
        </is>
      </c>
      <c r="C2137" s="7">
        <f>"n. [生态] 生物群系；[生态] 生物群落区"</f>
        <v/>
      </c>
      <c r="G2137" s="18">
        <f>HYPERLINK("D:\python\英语学习\voices\"&amp;B2137&amp;"_1.mp3","BrE")</f>
        <v/>
      </c>
      <c r="H2137" s="18">
        <f>HYPERLINK("D:\python\英语学习\voices\"&amp;B2137&amp;"_2.mp3","AmE")</f>
        <v/>
      </c>
      <c r="I2137" s="18">
        <f>HYPERLINK("http://dict.youdao.com/w/"&amp;B2137,"有道")</f>
        <v/>
      </c>
    </row>
    <row customHeight="1" ht="71.25" r="2138">
      <c r="B2138" s="1" t="inlineStr">
        <is>
          <t>stretch</t>
        </is>
      </c>
      <c r="C2138" s="7">
        <f>"vt. 伸展,张开；（大量地）使用，消耗（金钱，时间）；使竭尽所能；使全力以赴；"&amp;CHAR(10)&amp;"vi. 伸展；足够买（或支付）"&amp;CHAR(10)&amp;"n. 伸展，延伸"&amp;CHAR(10)&amp;"n. (Stretch)人名；(英)斯特雷奇"</f>
        <v/>
      </c>
      <c r="G2138" s="18">
        <f>HYPERLINK("D:\python\英语学习\voices\"&amp;B2138&amp;"_1.mp3","BrE")</f>
        <v/>
      </c>
      <c r="H2138" s="18">
        <f>HYPERLINK("D:\python\英语学习\voices\"&amp;B2138&amp;"_2.mp3","AmE")</f>
        <v/>
      </c>
      <c r="I2138" s="18">
        <f>HYPERLINK("http://dict.youdao.com/w/"&amp;B2138,"有道")</f>
        <v/>
      </c>
    </row>
    <row r="2139">
      <c r="B2139" s="1" t="inlineStr">
        <is>
          <t>ravine</t>
        </is>
      </c>
      <c r="C2139" s="7">
        <f>"n. 沟壑，山涧；峡谷"</f>
        <v/>
      </c>
      <c r="E2139" s="6" t="inlineStr">
        <is>
          <t>重音在后</t>
        </is>
      </c>
      <c r="G2139" s="18">
        <f>HYPERLINK("D:\python\英语学习\voices\"&amp;B2139&amp;"_1.mp3","BrE")</f>
        <v/>
      </c>
      <c r="H2139" s="18">
        <f>HYPERLINK("D:\python\英语学习\voices\"&amp;B2139&amp;"_2.mp3","AmE")</f>
        <v/>
      </c>
      <c r="I2139" s="18">
        <f>HYPERLINK("http://dict.youdao.com/w/"&amp;B2139,"有道")</f>
        <v/>
      </c>
    </row>
    <row r="2140">
      <c r="B2140" s="1" t="inlineStr">
        <is>
          <t>permanence</t>
        </is>
      </c>
      <c r="C2140" s="7">
        <f>"n. 持久；永久"</f>
        <v/>
      </c>
      <c r="G2140" s="18">
        <f>HYPERLINK("D:\python\英语学习\voices\"&amp;B2140&amp;"_1.mp3","BrE")</f>
        <v/>
      </c>
      <c r="H2140" s="18">
        <f>HYPERLINK("D:\python\英语学习\voices\"&amp;B2140&amp;"_2.mp3","AmE")</f>
        <v/>
      </c>
      <c r="I2140" s="18">
        <f>HYPERLINK("http://dict.youdao.com/w/"&amp;B2140,"有道")</f>
        <v/>
      </c>
    </row>
    <row r="2141">
      <c r="A2141" s="1" t="inlineStr">
        <is>
          <t>practice</t>
        </is>
      </c>
      <c r="B2141" s="1" t="inlineStr">
        <is>
          <t>proliferation</t>
        </is>
      </c>
      <c r="C2141" s="7">
        <f>"n. 增殖，扩散；分芽繁殖"</f>
        <v/>
      </c>
      <c r="E2141" s="10" t="inlineStr">
        <is>
          <t>=spread/increase rapidly</t>
        </is>
      </c>
      <c r="G2141" s="18">
        <f>HYPERLINK("D:\python\英语学习\voices\"&amp;B2141&amp;"_1.mp3","BrE")</f>
        <v/>
      </c>
      <c r="H2141" s="18">
        <f>HYPERLINK("D:\python\英语学习\voices\"&amp;B2141&amp;"_2.mp3","AmE")</f>
        <v/>
      </c>
      <c r="I2141" s="18">
        <f>HYPERLINK("http://dict.youdao.com/w/"&amp;B2141,"有道")</f>
        <v/>
      </c>
    </row>
    <row customHeight="1" ht="42.75" r="2142">
      <c r="A2142" s="1" t="inlineStr">
        <is>
          <t>practice</t>
        </is>
      </c>
      <c r="B2142" s="1" t="inlineStr">
        <is>
          <t>proprietor</t>
        </is>
      </c>
      <c r="C2142" s="7">
        <f>"n. 业主；所有者；经营者"</f>
        <v/>
      </c>
      <c r="G2142" s="18">
        <f>HYPERLINK("D:\python\英语学习\voices\"&amp;B2142&amp;"_1.mp3","BrE")</f>
        <v/>
      </c>
      <c r="H2142" s="18">
        <f>HYPERLINK("D:\python\英语学习\voices\"&amp;B2142&amp;"_2.mp3","AmE")</f>
        <v/>
      </c>
      <c r="I2142" s="18">
        <f>HYPERLINK("http://dict.youdao.com/w/"&amp;B2142,"有道")</f>
        <v/>
      </c>
    </row>
    <row customHeight="1" ht="42.75" r="2143">
      <c r="A2143" s="1" t="inlineStr">
        <is>
          <t>practice</t>
        </is>
      </c>
      <c r="B2143" s="1" t="inlineStr">
        <is>
          <t>provisional</t>
        </is>
      </c>
      <c r="C2143" s="7">
        <f>"adj. 临时的，暂时的；暂定的"&amp;CHAR(10)&amp;"n. 临时邮票"</f>
        <v/>
      </c>
      <c r="E2143" s="6" t="inlineStr">
        <is>
          <t>provisional measure 临时措施</t>
        </is>
      </c>
      <c r="G2143" s="18">
        <f>HYPERLINK("D:\python\英语学习\voices\"&amp;B2143&amp;"_1.mp3","BrE")</f>
        <v/>
      </c>
      <c r="H2143" s="18">
        <f>HYPERLINK("D:\python\英语学习\voices\"&amp;B2143&amp;"_2.mp3","AmE")</f>
        <v/>
      </c>
      <c r="I2143" s="18">
        <f>HYPERLINK("http://dict.youdao.com/w/"&amp;B2143,"有道")</f>
        <v/>
      </c>
    </row>
    <row customHeight="1" ht="28.5" r="2144">
      <c r="B2144" s="1" t="inlineStr">
        <is>
          <t>subscribe</t>
        </is>
      </c>
      <c r="C2144" s="7">
        <f>"vi. 订阅；捐款；认购；赞成；签署"&amp;CHAR(10)&amp;"vt. 签署；赞成；捐助"</f>
        <v/>
      </c>
      <c r="E2144" s="16" t="inlineStr">
        <is>
          <t>好多意思</t>
        </is>
      </c>
      <c r="G2144" s="18">
        <f>HYPERLINK("D:\python\英语学习\voices\"&amp;B2144&amp;"_1.mp3","BrE")</f>
        <v/>
      </c>
      <c r="H2144" s="18">
        <f>HYPERLINK("D:\python\英语学习\voices\"&amp;B2144&amp;"_2.mp3","AmE")</f>
        <v/>
      </c>
      <c r="I2144" s="18">
        <f>HYPERLINK("http://dict.youdao.com/w/"&amp;B2144,"有道")</f>
        <v/>
      </c>
    </row>
    <row r="2145">
      <c r="B2145" s="1" t="inlineStr">
        <is>
          <t>kinetic</t>
        </is>
      </c>
      <c r="C2145" s="7">
        <f>"adj. [力] 运动的；活跃的"</f>
        <v/>
      </c>
      <c r="G2145" s="18">
        <f>HYPERLINK("D:\python\英语学习\voices\"&amp;B2145&amp;"_1.mp3","BrE")</f>
        <v/>
      </c>
      <c r="H2145" s="18">
        <f>HYPERLINK("D:\python\英语学习\voices\"&amp;B2145&amp;"_2.mp3","AmE")</f>
        <v/>
      </c>
      <c r="I2145" s="18">
        <f>HYPERLINK("http://dict.youdao.com/w/"&amp;B2145,"有道")</f>
        <v/>
      </c>
    </row>
    <row r="2146">
      <c r="B2146" s="1" t="inlineStr">
        <is>
          <t>authentic</t>
        </is>
      </c>
      <c r="C2146" s="7">
        <f>"adj. 真正的，真实的；可信的"</f>
        <v/>
      </c>
      <c r="G2146" s="18">
        <f>HYPERLINK("D:\python\英语学习\voices\"&amp;B2146&amp;"_1.mp3","BrE")</f>
        <v/>
      </c>
      <c r="H2146" s="18">
        <f>HYPERLINK("D:\python\英语学习\voices\"&amp;B2146&amp;"_2.mp3","AmE")</f>
        <v/>
      </c>
      <c r="I2146" s="18">
        <f>HYPERLINK("http://dict.youdao.com/w/"&amp;B2146,"有道")</f>
        <v/>
      </c>
    </row>
    <row r="2147">
      <c r="B2147" s="1" t="inlineStr">
        <is>
          <t>authentication</t>
        </is>
      </c>
      <c r="C2147" s="7">
        <f>"n. 证明；鉴定；证实"</f>
        <v/>
      </c>
      <c r="G2147" s="18">
        <f>HYPERLINK("D:\python\英语学习\voices\"&amp;B2147&amp;"_1.mp3","BrE")</f>
        <v/>
      </c>
      <c r="H2147" s="18">
        <f>HYPERLINK("D:\python\英语学习\voices\"&amp;B2147&amp;"_2.mp3","AmE")</f>
        <v/>
      </c>
      <c r="I2147" s="18">
        <f>HYPERLINK("http://dict.youdao.com/w/"&amp;B2147,"有道")</f>
        <v/>
      </c>
    </row>
    <row r="2148">
      <c r="B2148" s="1" t="inlineStr">
        <is>
          <t>suave</t>
        </is>
      </c>
      <c r="C2148" s="7">
        <f>"adj. 柔和的，温和的；文雅的，娴雅的"</f>
        <v/>
      </c>
      <c r="G2148" s="18">
        <f>HYPERLINK("D:\python\英语学习\voices\"&amp;B2148&amp;"_1.mp3","BrE")</f>
        <v/>
      </c>
      <c r="H2148" s="18">
        <f>HYPERLINK("D:\python\英语学习\voices\"&amp;B2148&amp;"_2.mp3","AmE")</f>
        <v/>
      </c>
      <c r="I2148" s="18">
        <f>HYPERLINK("http://dict.youdao.com/w/"&amp;B2148,"有道")</f>
        <v/>
      </c>
    </row>
    <row customHeight="1" ht="28.5" r="2149">
      <c r="B2149" s="1" t="inlineStr">
        <is>
          <t>potent</t>
        </is>
      </c>
      <c r="C2149" s="7">
        <f>"adj. 有效的；强有力的，有权势的；有说服力的"</f>
        <v/>
      </c>
      <c r="G2149" s="18">
        <f>HYPERLINK("D:\python\英语学习\voices\"&amp;B2149&amp;"_1.mp3","BrE")</f>
        <v/>
      </c>
      <c r="H2149" s="18">
        <f>HYPERLINK("D:\python\英语学习\voices\"&amp;B2149&amp;"_2.mp3","AmE")</f>
        <v/>
      </c>
      <c r="I2149" s="18">
        <f>HYPERLINK("http://dict.youdao.com/w/"&amp;B2149,"有道")</f>
        <v/>
      </c>
    </row>
    <row r="2150">
      <c r="B2150" s="1" t="inlineStr">
        <is>
          <t>odorless</t>
        </is>
      </c>
      <c r="C2150" s="7">
        <f>"adj. 没有气味的"</f>
        <v/>
      </c>
      <c r="G2150" s="18">
        <f>HYPERLINK("D:\python\英语学习\voices\"&amp;B2150&amp;"_1.mp3","BrE")</f>
        <v/>
      </c>
      <c r="H2150" s="18">
        <f>HYPERLINK("D:\python\英语学习\voices\"&amp;B2150&amp;"_2.mp3","AmE")</f>
        <v/>
      </c>
      <c r="I2150" s="18">
        <f>HYPERLINK("http://dict.youdao.com/w/"&amp;B2150,"有道")</f>
        <v/>
      </c>
    </row>
    <row customHeight="1" ht="28.5" r="2151">
      <c r="B2151" s="1" t="inlineStr">
        <is>
          <t>odor</t>
        </is>
      </c>
      <c r="C2151" s="7">
        <f>"n. 气味；名声"&amp;CHAR(10)&amp;"n. (Odor)人名；(匈)欧多尔"</f>
        <v/>
      </c>
      <c r="G2151" s="18">
        <f>HYPERLINK("D:\python\英语学习\voices\"&amp;B2151&amp;"_1.mp3","BrE")</f>
        <v/>
      </c>
      <c r="H2151" s="18">
        <f>HYPERLINK("D:\python\英语学习\voices\"&amp;B2151&amp;"_2.mp3","AmE")</f>
        <v/>
      </c>
      <c r="I2151" s="18">
        <f>HYPERLINK("http://dict.youdao.com/w/"&amp;B2151,"有道")</f>
        <v/>
      </c>
    </row>
    <row customHeight="1" ht="29.1" r="2152">
      <c r="B2152" s="1" t="inlineStr">
        <is>
          <t>debonair</t>
        </is>
      </c>
      <c r="C2152" s="7">
        <f>"adj. 高兴的，快活的；温文尔雅的；殷勤的"</f>
        <v/>
      </c>
      <c r="G2152" s="18">
        <f>HYPERLINK("D:\python\英语学习\voices\"&amp;B2152&amp;"_1.mp3","BrE")</f>
        <v/>
      </c>
      <c r="H2152" s="18">
        <f>HYPERLINK("D:\python\英语学习\voices\"&amp;B2152&amp;"_2.mp3","AmE")</f>
        <v/>
      </c>
      <c r="I2152" s="18">
        <f>HYPERLINK("http://dict.youdao.com/w/"&amp;B2152,"有道")</f>
        <v/>
      </c>
    </row>
    <row r="2153">
      <c r="B2153" s="1" t="inlineStr">
        <is>
          <t>artless</t>
        </is>
      </c>
      <c r="C2153" s="7">
        <f>"adj. 天真的；朴实的；无虚饰的"</f>
        <v/>
      </c>
      <c r="G2153" s="18">
        <f>HYPERLINK("D:\python\英语学习\voices\"&amp;B2153&amp;"_1.mp3","BrE")</f>
        <v/>
      </c>
      <c r="H2153" s="18">
        <f>HYPERLINK("D:\python\英语学习\voices\"&amp;B2153&amp;"_2.mp3","AmE")</f>
        <v/>
      </c>
      <c r="I2153" s="18">
        <f>HYPERLINK("http://dict.youdao.com/w/"&amp;B2153,"有道")</f>
        <v/>
      </c>
    </row>
    <row r="2154">
      <c r="B2154" s="1" t="inlineStr">
        <is>
          <t>levitation</t>
        </is>
      </c>
      <c r="C2154" s="7">
        <f>"n. 升空；飘浮"</f>
        <v/>
      </c>
      <c r="G2154" s="18">
        <f>HYPERLINK("D:\python\英语学习\voices\"&amp;B2154&amp;"_1.mp3","BrE")</f>
        <v/>
      </c>
      <c r="H2154" s="18">
        <f>HYPERLINK("D:\python\英语学习\voices\"&amp;B2154&amp;"_2.mp3","AmE")</f>
        <v/>
      </c>
      <c r="I2154" s="18">
        <f>HYPERLINK("http://dict.youdao.com/w/"&amp;B2154,"有道")</f>
        <v/>
      </c>
    </row>
    <row r="2155">
      <c r="A2155" t="inlineStr">
        <is>
          <t>unnecessary</t>
        </is>
      </c>
      <c r="B2155" s="1" t="inlineStr">
        <is>
          <t>aliasing</t>
        </is>
      </c>
      <c r="C2155" s="7">
        <f>"n. [计] 别名使用；[数][通信] 混淆现象"</f>
        <v/>
      </c>
      <c r="G2155" s="18">
        <f>HYPERLINK("D:\python\英语学习\voices\"&amp;B2155&amp;"_1.mp3","BrE")</f>
        <v/>
      </c>
      <c r="H2155" s="18">
        <f>HYPERLINK("D:\python\英语学习\voices\"&amp;B2155&amp;"_2.mp3","AmE")</f>
        <v/>
      </c>
      <c r="I2155" s="18">
        <f>HYPERLINK("http://dict.youdao.com/w/"&amp;B2155,"有道")</f>
        <v/>
      </c>
    </row>
    <row customHeight="1" ht="71.25" r="2156">
      <c r="A2156" s="1" t="inlineStr">
        <is>
          <t>practice</t>
        </is>
      </c>
      <c r="B2156" s="1" t="inlineStr">
        <is>
          <t>prudent</t>
        </is>
      </c>
      <c r="C2156" s="7">
        <f>"adj. 谨慎的；精明的；节俭的"&amp;CHAR(10)&amp;"n. (Prudent)人名；(法)普吕当"</f>
        <v/>
      </c>
      <c r="G2156" s="18">
        <f>HYPERLINK("D:\python\英语学习\voices\"&amp;B2156&amp;"_1.mp3","BrE")</f>
        <v/>
      </c>
      <c r="H2156" s="18">
        <f>HYPERLINK("D:\python\英语学习\voices\"&amp;B2156&amp;"_2.mp3","AmE")</f>
        <v/>
      </c>
      <c r="I2156" s="18">
        <f>HYPERLINK("http://dict.youdao.com/w/"&amp;B2156,"有道")</f>
        <v/>
      </c>
    </row>
    <row customHeight="1" ht="28.5" r="2157">
      <c r="B2157" s="1" t="inlineStr">
        <is>
          <t>moody</t>
        </is>
      </c>
      <c r="C2157" s="7">
        <f>"adj. 喜怒无常的；易怒的；郁郁寡欢的"&amp;CHAR(10)&amp;"n. (Moody)人名；(英)穆迪"</f>
        <v/>
      </c>
      <c r="G2157" s="18">
        <f>HYPERLINK("D:\python\英语学习\voices\"&amp;B2157&amp;"_1.mp3","BrE")</f>
        <v/>
      </c>
      <c r="H2157" s="18">
        <f>HYPERLINK("D:\python\英语学习\voices\"&amp;B2157&amp;"_2.mp3","AmE")</f>
        <v/>
      </c>
      <c r="I2157" s="18">
        <f>HYPERLINK("http://dict.youdao.com/w/"&amp;B2157,"有道")</f>
        <v/>
      </c>
    </row>
    <row customHeight="1" ht="57" r="2158">
      <c r="B2158" s="1" t="inlineStr">
        <is>
          <t>alter</t>
        </is>
      </c>
      <c r="C2158" s="7">
        <f>"vt. 改变，更改"&amp;CHAR(10)&amp;"vi. 改变；修改"&amp;CHAR(10)&amp;"n. (Alter)人名；(英)奥尔特；(德、捷、葡、爱沙、立陶、拉脱、俄、西、罗、瑞典)阿尔特"</f>
        <v/>
      </c>
      <c r="G2158" s="18">
        <f>HYPERLINK("D:\python\英语学习\voices\"&amp;B2158&amp;"_1.mp3","BrE")</f>
        <v/>
      </c>
      <c r="H2158" s="18">
        <f>HYPERLINK("D:\python\英语学习\voices\"&amp;B2158&amp;"_2.mp3","AmE")</f>
        <v/>
      </c>
      <c r="I2158" s="18">
        <f>HYPERLINK("http://dict.youdao.com/w/"&amp;B2158,"有道")</f>
        <v/>
      </c>
    </row>
    <row r="2159">
      <c r="B2159" s="1" t="inlineStr">
        <is>
          <t>endpoint</t>
        </is>
      </c>
      <c r="C2159" s="7">
        <f>"n. 端点；末端，终结点"</f>
        <v/>
      </c>
      <c r="G2159" s="18">
        <f>HYPERLINK("D:\python\英语学习\voices\"&amp;B2159&amp;"_1.mp3","BrE")</f>
        <v/>
      </c>
      <c r="H2159" s="18">
        <f>HYPERLINK("D:\python\英语学习\voices\"&amp;B2159&amp;"_2.mp3","AmE")</f>
        <v/>
      </c>
      <c r="I2159" s="18">
        <f>HYPERLINK("http://dict.youdao.com/w/"&amp;B2159,"有道")</f>
        <v/>
      </c>
    </row>
    <row customHeight="1" ht="57" r="2160">
      <c r="B2160" s="1" t="inlineStr">
        <is>
          <t>render</t>
        </is>
      </c>
      <c r="C2160" s="7">
        <f>"vt. 致使；提出；实施；着色；以…回报"&amp;CHAR(10)&amp;"vi. 给予补偿"&amp;CHAR(10)&amp;"n. 打底；交纳；粉刷"&amp;CHAR(10)&amp;"n. (Render)人名；(英、德)伦德尔"</f>
        <v/>
      </c>
      <c r="G2160" s="18">
        <f>HYPERLINK("D:\python\英语学习\voices\"&amp;B2160&amp;"_1.mp3","BrE")</f>
        <v/>
      </c>
      <c r="H2160" s="18">
        <f>HYPERLINK("D:\python\英语学习\voices\"&amp;B2160&amp;"_2.mp3","AmE")</f>
        <v/>
      </c>
      <c r="I2160" s="18">
        <f>HYPERLINK("http://dict.youdao.com/w/"&amp;B2160,"有道")</f>
        <v/>
      </c>
    </row>
    <row customHeight="1" ht="57" r="2161">
      <c r="B2161" s="1" t="inlineStr">
        <is>
          <t>rendering</t>
        </is>
      </c>
      <c r="C2161" s="7">
        <f>"n. 翻译；表现；表演；描写；打底；（建筑物等）透视图"&amp;CHAR(10)&amp;"vt. 致使；表演；打底（render的ing形式）"&amp;CHAR(10)&amp;"vi. 给予补偿（render的ing形式）"</f>
        <v/>
      </c>
      <c r="G2161" s="18">
        <f>HYPERLINK("D:\python\英语学习\voices\"&amp;B2161&amp;"_1.mp3","BrE")</f>
        <v/>
      </c>
      <c r="H2161" s="18">
        <f>HYPERLINK("D:\python\英语学习\voices\"&amp;B2161&amp;"_2.mp3","AmE")</f>
        <v/>
      </c>
      <c r="I2161" s="18">
        <f>HYPERLINK("http://dict.youdao.com/w/"&amp;B2161,"有道")</f>
        <v/>
      </c>
    </row>
    <row customHeight="1" ht="28.5" r="2162">
      <c r="B2162" s="1" t="inlineStr">
        <is>
          <t>miscellaneous</t>
        </is>
      </c>
      <c r="C2162" s="7">
        <f>"adj. 混杂的，各种各样的；多方面的，多才多艺的"</f>
        <v/>
      </c>
      <c r="G2162" s="18">
        <f>HYPERLINK("D:\python\英语学习\voices\"&amp;B2162&amp;"_1.mp3","BrE")</f>
        <v/>
      </c>
      <c r="H2162" s="18">
        <f>HYPERLINK("D:\python\英语学习\voices\"&amp;B2162&amp;"_2.mp3","AmE")</f>
        <v/>
      </c>
      <c r="I2162" s="18">
        <f>HYPERLINK("http://dict.youdao.com/w/"&amp;B2162,"有道")</f>
        <v/>
      </c>
    </row>
    <row customHeight="1" ht="42.75" r="2163">
      <c r="A2163" s="1" t="inlineStr">
        <is>
          <t>unnecessary</t>
        </is>
      </c>
      <c r="B2163" s="1" t="inlineStr">
        <is>
          <t>chirp</t>
        </is>
      </c>
      <c r="C2163" s="7">
        <f>"n. 唧唧声；喳喳声；[通信] 啁啾声"&amp;CHAR(10)&amp;"vi. 吱喳而鸣；尖声地说；咂嘴打招呼"&amp;CHAR(10)&amp;"vt. 吱喳而鸣；尖声地说；咂嘴向…打招呼"</f>
        <v/>
      </c>
      <c r="G2163" s="18">
        <f>HYPERLINK("D:\python\英语学习\voices\"&amp;B2163&amp;"_1.mp3","BrE")</f>
        <v/>
      </c>
      <c r="H2163" s="18">
        <f>HYPERLINK("D:\python\英语学习\voices\"&amp;B2163&amp;"_2.mp3","AmE")</f>
        <v/>
      </c>
      <c r="I2163" s="18">
        <f>HYPERLINK("http://dict.youdao.com/w/"&amp;B2163,"有道")</f>
        <v/>
      </c>
    </row>
    <row customHeight="1" ht="43.5" r="2164">
      <c r="A2164" s="1" t="inlineStr">
        <is>
          <t>unnecessary</t>
        </is>
      </c>
      <c r="B2164" s="1" t="inlineStr">
        <is>
          <t>portfolio</t>
        </is>
      </c>
      <c r="C2164" s="7">
        <f>"n. 公文包；文件夹；证券投资组合；部长职务"</f>
        <v/>
      </c>
      <c r="G2164" s="18">
        <f>HYPERLINK("D:\python\英语学习\voices\"&amp;B2164&amp;"_1.mp3","BrE")</f>
        <v/>
      </c>
      <c r="H2164" s="18">
        <f>HYPERLINK("D:\python\英语学习\voices\"&amp;B2164&amp;"_2.mp3","AmE")</f>
        <v/>
      </c>
      <c r="I2164" s="18">
        <f>HYPERLINK("http://dict.youdao.com/w/"&amp;B2164,"有道")</f>
        <v/>
      </c>
    </row>
    <row customHeight="1" ht="57" r="2165">
      <c r="B2165" s="1" t="inlineStr">
        <is>
          <t>lime</t>
        </is>
      </c>
      <c r="C2165" s="7">
        <f>"n. 石灰；酸橙；绿黄色"&amp;CHAR(10)&amp;"vt. 撒石灰于；涂粘鸟胶于"&amp;CHAR(10)&amp;"adj. 绿黄色的"&amp;CHAR(10)&amp;"n. (Lime)人名；(法)利姆"</f>
        <v/>
      </c>
      <c r="G2165" s="18">
        <f>HYPERLINK("D:\python\英语学习\voices\"&amp;B2165&amp;"_1.mp3","BrE")</f>
        <v/>
      </c>
      <c r="H2165" s="18">
        <f>HYPERLINK("D:\python\英语学习\voices\"&amp;B2165&amp;"_2.mp3","AmE")</f>
        <v/>
      </c>
      <c r="I2165" s="18">
        <f>HYPERLINK("http://dict.youdao.com/w/"&amp;B2165,"有道")</f>
        <v/>
      </c>
    </row>
    <row customHeight="1" ht="42.75" r="2166">
      <c r="B2166" s="1" t="inlineStr">
        <is>
          <t>chief</t>
        </is>
      </c>
      <c r="C2166" s="7">
        <f>"n. 首领；酋长；主要部分"&amp;CHAR(10)&amp;"adj. 首席的；主要的；主任的"&amp;CHAR(10)&amp;"adv. 主要地；首要地"</f>
        <v/>
      </c>
      <c r="G2166" s="18">
        <f>HYPERLINK("D:\python\英语学习\voices\"&amp;B2166&amp;"_1.mp3","BrE")</f>
        <v/>
      </c>
      <c r="H2166" s="18">
        <f>HYPERLINK("D:\python\英语学习\voices\"&amp;B2166&amp;"_2.mp3","AmE")</f>
        <v/>
      </c>
      <c r="I2166" s="18">
        <f>HYPERLINK("http://dict.youdao.com/w/"&amp;B2166,"有道")</f>
        <v/>
      </c>
    </row>
    <row customHeight="1" ht="28.5" r="2167">
      <c r="B2167" s="1" t="inlineStr">
        <is>
          <t>paly</t>
        </is>
      </c>
      <c r="C2167" s="7">
        <f>"adj. 发青的；苍白的"&amp;CHAR(10)&amp;"n. (Paly)人名；(法)帕利；(罗)帕伊"</f>
        <v/>
      </c>
      <c r="D2167" s="6" t="inlineStr">
        <is>
          <t>pale-但不是adv，也是adj</t>
        </is>
      </c>
      <c r="G2167" s="18">
        <f>HYPERLINK("D:\python\英语学习\voices\"&amp;B2167&amp;"_1.mp3","BrE")</f>
        <v/>
      </c>
      <c r="H2167" s="18">
        <f>HYPERLINK("D:\python\英语学习\voices\"&amp;B2167&amp;"_2.mp3","AmE")</f>
        <v/>
      </c>
      <c r="I2167" s="18">
        <f>HYPERLINK("http://dict.youdao.com/w/"&amp;B2167,"有道")</f>
        <v/>
      </c>
    </row>
    <row r="2168">
      <c r="B2168" s="1" t="inlineStr">
        <is>
          <t>lozenge</t>
        </is>
      </c>
      <c r="C2168" s="7">
        <f>"n. [数] 菱形；锭剂；菱形窗玻璃"</f>
        <v/>
      </c>
      <c r="G2168" s="18">
        <f>HYPERLINK("D:\python\英语学习\voices\"&amp;B2168&amp;"_1.mp3","BrE")</f>
        <v/>
      </c>
      <c r="H2168" s="18">
        <f>HYPERLINK("D:\python\英语学习\voices\"&amp;B2168&amp;"_2.mp3","AmE")</f>
        <v/>
      </c>
      <c r="I2168" s="18">
        <f>HYPERLINK("http://dict.youdao.com/w/"&amp;B2168,"有道")</f>
        <v/>
      </c>
    </row>
    <row r="2169">
      <c r="B2169" s="1" t="inlineStr">
        <is>
          <t>gradient</t>
        </is>
      </c>
      <c r="C2169" s="7">
        <f>"n. [数][物] 梯度；坡度；倾斜度"</f>
        <v/>
      </c>
      <c r="G2169" s="18">
        <f>HYPERLINK("D:\python\英语学习\voices\"&amp;B2169&amp;"_1.mp3","BrE")</f>
        <v/>
      </c>
      <c r="H2169" s="18">
        <f>HYPERLINK("D:\python\英语学习\voices\"&amp;B2169&amp;"_2.mp3","AmE")</f>
        <v/>
      </c>
      <c r="I2169" s="18">
        <f>HYPERLINK("http://dict.youdao.com/w/"&amp;B2169,"有道")</f>
        <v/>
      </c>
    </row>
    <row r="2170">
      <c r="B2170" s="1" t="inlineStr">
        <is>
          <t>saltire</t>
        </is>
      </c>
      <c r="C2170" s="7">
        <f>"n. X形十字；圣安得鲁十字"</f>
        <v/>
      </c>
      <c r="G2170" s="18">
        <f>HYPERLINK("D:\python\英语学习\voices\"&amp;B2170&amp;"_1.mp3","BrE")</f>
        <v/>
      </c>
      <c r="H2170" s="18">
        <f>HYPERLINK("D:\python\英语学习\voices\"&amp;B2170&amp;"_2.mp3","AmE")</f>
        <v/>
      </c>
      <c r="I2170" s="18">
        <f>HYPERLINK("http://dict.youdao.com/w/"&amp;B2170,"有道")</f>
        <v/>
      </c>
    </row>
    <row r="2171">
      <c r="A2171" s="1" t="inlineStr">
        <is>
          <t>unnecessary</t>
        </is>
      </c>
      <c r="B2171" s="1" t="inlineStr">
        <is>
          <t>roundel</t>
        </is>
      </c>
      <c r="C2171" s="7">
        <f>"n. 小圆盘；圆形饰物"</f>
        <v/>
      </c>
      <c r="G2171" s="18">
        <f>HYPERLINK("D:\python\英语学习\voices\"&amp;B2171&amp;"_1.mp3","BrE")</f>
        <v/>
      </c>
      <c r="H2171" s="18">
        <f>HYPERLINK("D:\python\英语学习\voices\"&amp;B2171&amp;"_2.mp3","AmE")</f>
        <v/>
      </c>
      <c r="I2171" s="18">
        <f>HYPERLINK("http://dict.youdao.com/w/"&amp;B2171,"有道")</f>
        <v/>
      </c>
    </row>
    <row customHeight="1" ht="71.25" r="2172">
      <c r="B2172" s="1" t="inlineStr">
        <is>
          <t>field</t>
        </is>
      </c>
      <c r="C2172" s="7">
        <f>"n. 领域；牧场；旷野；战场；运动场;字段"&amp;CHAR(10)&amp;"vi. 担任场外队员"&amp;CHAR(10)&amp;"adj. 扫描场；田赛的；野生的"&amp;CHAR(10)&amp;"vt. 把暴晒于场上；使上场"&amp;CHAR(10)&amp;"n. (Field)人名；(英、法、德、葡)菲尔德"</f>
        <v/>
      </c>
      <c r="G2172" s="18">
        <f>HYPERLINK("D:\python\英语学习\voices\"&amp;B2172&amp;"_1.mp3","BrE")</f>
        <v/>
      </c>
      <c r="H2172" s="18">
        <f>HYPERLINK("D:\python\英语学习\voices\"&amp;B2172&amp;"_2.mp3","AmE")</f>
        <v/>
      </c>
      <c r="I2172" s="18">
        <f>HYPERLINK("http://dict.youdao.com/w/"&amp;B2172,"有道")</f>
        <v/>
      </c>
    </row>
    <row customHeight="1" ht="28.5" r="2173">
      <c r="B2173" s="1" t="inlineStr">
        <is>
          <t>ridden</t>
        </is>
      </c>
      <c r="C2173" s="7">
        <f>"adj. 充斥…的；受虐待的"&amp;CHAR(10)&amp;"v. 骑（ride的过去分词）"</f>
        <v/>
      </c>
      <c r="G2173" s="18">
        <f>HYPERLINK("D:\python\英语学习\voices\"&amp;B2173&amp;"_1.mp3","BrE")</f>
        <v/>
      </c>
      <c r="H2173" s="18">
        <f>HYPERLINK("D:\python\英语学习\voices\"&amp;B2173&amp;"_2.mp3","AmE")</f>
        <v/>
      </c>
      <c r="I2173" s="18">
        <f>HYPERLINK("http://dict.youdao.com/w/"&amp;B2173,"有道")</f>
        <v/>
      </c>
    </row>
    <row customHeight="1" ht="42.75" r="2174">
      <c r="A2174" s="1" t="inlineStr">
        <is>
          <t>unnecessary</t>
        </is>
      </c>
      <c r="B2174" s="1" t="inlineStr">
        <is>
          <t>foal</t>
        </is>
      </c>
      <c r="C2174" s="7">
        <f>"n. 驹（尤指一岁以下的马、驴、骡）"&amp;CHAR(10)&amp;"vi. （马等）生仔"&amp;CHAR(10)&amp;"vt. （马等）生仔"</f>
        <v/>
      </c>
      <c r="G2174" s="18">
        <f>HYPERLINK("D:\python\英语学习\voices\"&amp;B2174&amp;"_1.mp3","BrE")</f>
        <v/>
      </c>
      <c r="H2174" s="18">
        <f>HYPERLINK("D:\python\英语学习\voices\"&amp;B2174&amp;"_2.mp3","AmE")</f>
        <v/>
      </c>
      <c r="I2174" s="18">
        <f>HYPERLINK("http://dict.youdao.com/w/"&amp;B2174,"有道")</f>
        <v/>
      </c>
    </row>
    <row customHeight="1" ht="57" r="2175">
      <c r="B2175" s="1" t="inlineStr">
        <is>
          <t>steer</t>
        </is>
      </c>
      <c r="C2175" s="7">
        <f>"vt. 控制，引导；驾驶"&amp;CHAR(10)&amp;"vi. 驾驶，掌舵；行驶"&amp;CHAR(10)&amp;"n. 阉牛"&amp;CHAR(10)&amp;"n. (Steer)人名；(英)斯蒂尔；(德、匈)施特尔"</f>
        <v/>
      </c>
      <c r="G2175" s="18">
        <f>HYPERLINK("D:\python\英语学习\voices\"&amp;B2175&amp;"_1.mp3","BrE")</f>
        <v/>
      </c>
      <c r="H2175" s="18">
        <f>HYPERLINK("D:\python\英语学习\voices\"&amp;B2175&amp;"_2.mp3","AmE")</f>
        <v/>
      </c>
      <c r="I2175" s="18">
        <f>HYPERLINK("http://dict.youdao.com/w/"&amp;B2175,"有道")</f>
        <v/>
      </c>
    </row>
    <row r="2176">
      <c r="B2176" s="1" t="inlineStr">
        <is>
          <t>suffocation</t>
        </is>
      </c>
      <c r="C2176" s="7">
        <f>"n. 窒息；闷死"</f>
        <v/>
      </c>
      <c r="G2176" s="18">
        <f>HYPERLINK("D:\python\英语学习\voices\"&amp;B2176&amp;"_1.mp3","BrE")</f>
        <v/>
      </c>
      <c r="H2176" s="18">
        <f>HYPERLINK("D:\python\英语学习\voices\"&amp;B2176&amp;"_2.mp3","AmE")</f>
        <v/>
      </c>
      <c r="I2176" s="18">
        <f>HYPERLINK("http://dict.youdao.com/w/"&amp;B2176,"有道")</f>
        <v/>
      </c>
    </row>
    <row customHeight="1" ht="42.75" r="2177">
      <c r="B2177" s="1" t="inlineStr">
        <is>
          <t>idle</t>
        </is>
      </c>
      <c r="C2177" s="7">
        <f>"adj. 闲置的；懒惰的；停顿的"&amp;CHAR(10)&amp;"vi. 无所事事；虚度；空转"&amp;CHAR(10)&amp;"vt. 虚度；使空转"</f>
        <v/>
      </c>
      <c r="G2177" s="18">
        <f>HYPERLINK("D:\python\英语学习\voices\"&amp;B2177&amp;"_1.mp3","BrE")</f>
        <v/>
      </c>
      <c r="H2177" s="18">
        <f>HYPERLINK("D:\python\英语学习\voices\"&amp;B2177&amp;"_2.mp3","AmE")</f>
        <v/>
      </c>
      <c r="I2177" s="18">
        <f>HYPERLINK("http://dict.youdao.com/w/"&amp;B2177,"有道")</f>
        <v/>
      </c>
    </row>
    <row customHeight="1" ht="42.75" r="2178">
      <c r="B2178" s="1" t="inlineStr">
        <is>
          <t>merge</t>
        </is>
      </c>
      <c r="C2178" s="7">
        <f>"vt. 合并；使合并；吞没"&amp;CHAR(10)&amp;"vi. 合并；融合"&amp;CHAR(10)&amp;"n. (Merge)人名；(意)梅尔杰"</f>
        <v/>
      </c>
      <c r="G2178" s="18">
        <f>HYPERLINK("D:\python\英语学习\voices\"&amp;B2178&amp;"_1.mp3","BrE")</f>
        <v/>
      </c>
      <c r="H2178" s="18">
        <f>HYPERLINK("D:\python\英语学习\voices\"&amp;B2178&amp;"_2.mp3","AmE")</f>
        <v/>
      </c>
      <c r="I2178" s="18">
        <f>HYPERLINK("http://dict.youdao.com/w/"&amp;B2178,"有道")</f>
        <v/>
      </c>
    </row>
    <row customHeight="1" ht="28.5" r="2179">
      <c r="B2179" s="1" t="inlineStr">
        <is>
          <t>goofy</t>
        </is>
      </c>
      <c r="C2179" s="7">
        <f>"adj. 傻瓜的，愚笨的"&amp;CHAR(10)&amp;"n. 高飞（迪士尼卡通人物）"</f>
        <v/>
      </c>
      <c r="G2179" s="18">
        <f>HYPERLINK("D:\python\英语学习\voices\"&amp;B2179&amp;"_1.mp3","BrE")</f>
        <v/>
      </c>
      <c r="H2179" s="18">
        <f>HYPERLINK("D:\python\英语学习\voices\"&amp;B2179&amp;"_2.mp3","AmE")</f>
        <v/>
      </c>
      <c r="I2179" s="18">
        <f>HYPERLINK("http://dict.youdao.com/w/"&amp;B2179,"有道")</f>
        <v/>
      </c>
    </row>
    <row customHeight="1" ht="28.5" r="2180">
      <c r="B2180" s="1" t="inlineStr">
        <is>
          <t>vibrant</t>
        </is>
      </c>
      <c r="C2180" s="7">
        <f>"adj. 振动的；充满生气的；响亮的；战栗的"&amp;CHAR(10)&amp;"n. (Vibrant)人名；(德)维布兰特"</f>
        <v/>
      </c>
      <c r="G2180" s="18">
        <f>HYPERLINK("D:\python\英语学习\voices\"&amp;B2180&amp;"_1.mp3","BrE")</f>
        <v/>
      </c>
      <c r="H2180" s="18">
        <f>HYPERLINK("D:\python\英语学习\voices\"&amp;B2180&amp;"_2.mp3","AmE")</f>
        <v/>
      </c>
      <c r="I2180" s="18">
        <f>HYPERLINK("http://dict.youdao.com/w/"&amp;B2180,"有道")</f>
        <v/>
      </c>
    </row>
    <row customHeight="1" ht="42.75" r="2181">
      <c r="B2181" s="1" t="inlineStr">
        <is>
          <t>pickup</t>
        </is>
      </c>
      <c r="C2181" s="7">
        <f>"n. 收集，整理；小卡车；拾起；搭车者；偶然结识者"&amp;CHAR(10)&amp;"n. (Pickup)人名；(英)皮卡普"</f>
        <v/>
      </c>
      <c r="G2181" s="18">
        <f>HYPERLINK("D:\python\英语学习\voices\"&amp;B2181&amp;"_1.mp3","BrE")</f>
        <v/>
      </c>
      <c r="H2181" s="18">
        <f>HYPERLINK("D:\python\英语学习\voices\"&amp;B2181&amp;"_2.mp3","AmE")</f>
        <v/>
      </c>
      <c r="I2181" s="18">
        <f>HYPERLINK("http://dict.youdao.com/w/"&amp;B2181,"有道")</f>
        <v/>
      </c>
    </row>
    <row customHeight="1" ht="28.5" r="2182">
      <c r="B2182" s="1" t="inlineStr">
        <is>
          <t>empire</t>
        </is>
      </c>
      <c r="C2182" s="7">
        <f>"n. 帝国；帝王统治，君权"&amp;CHAR(10)&amp;"n. (Empire)人名；(法)昂皮尔"</f>
        <v/>
      </c>
      <c r="G2182" s="18">
        <f>HYPERLINK("D:\python\英语学习\voices\"&amp;B2182&amp;"_1.mp3","BrE")</f>
        <v/>
      </c>
      <c r="H2182" s="18">
        <f>HYPERLINK("D:\python\英语学习\voices\"&amp;B2182&amp;"_2.mp3","AmE")</f>
        <v/>
      </c>
      <c r="I2182" s="18">
        <f>HYPERLINK("http://dict.youdao.com/w/"&amp;B2182,"有道")</f>
        <v/>
      </c>
    </row>
    <row r="2183">
      <c r="B2183" s="1" t="inlineStr">
        <is>
          <t>changeable</t>
        </is>
      </c>
      <c r="C2183" s="7">
        <f>"adj. 无常的；可改变的；易变的；不定的"</f>
        <v/>
      </c>
      <c r="E2183" s="6" t="inlineStr">
        <is>
          <t>注意拼写-eable</t>
        </is>
      </c>
      <c r="G2183" s="18">
        <f>HYPERLINK("D:\python\英语学习\voices\"&amp;B2183&amp;"_1.mp3","BrE")</f>
        <v/>
      </c>
      <c r="H2183" s="18">
        <f>HYPERLINK("D:\python\英语学习\voices\"&amp;B2183&amp;"_2.mp3","AmE")</f>
        <v/>
      </c>
      <c r="I2183" s="18">
        <f>HYPERLINK("http://dict.youdao.com/w/"&amp;B2183,"有道")</f>
        <v/>
      </c>
    </row>
    <row customHeight="1" ht="71.25" r="2184">
      <c r="B2184" s="1" t="inlineStr">
        <is>
          <t>wax</t>
        </is>
      </c>
      <c r="C2184" s="7">
        <f>"n. 蜡；蜡状物"&amp;CHAR(10)&amp;"vt. 给…上蜡"&amp;CHAR(10)&amp;"vi. 月亮渐满；增大"&amp;CHAR(10)&amp;"adj. 蜡制的；似蜡的"&amp;CHAR(10)&amp;"n. (Wax)人名；(德、罗、匈、英)瓦克斯"</f>
        <v/>
      </c>
      <c r="E2184" s="6" t="inlineStr">
        <is>
          <t>好多意思</t>
        </is>
      </c>
      <c r="G2184" s="18">
        <f>HYPERLINK("D:\python\英语学习\voices\"&amp;B2184&amp;"_1.mp3","BrE")</f>
        <v/>
      </c>
      <c r="H2184" s="18">
        <f>HYPERLINK("D:\python\英语学习\voices\"&amp;B2184&amp;"_2.mp3","AmE")</f>
        <v/>
      </c>
      <c r="I2184" s="18">
        <f>HYPERLINK("http://dict.youdao.com/w/"&amp;B2184,"有道")</f>
        <v/>
      </c>
    </row>
    <row r="2185">
      <c r="B2185" s="1" t="inlineStr">
        <is>
          <t>startling</t>
        </is>
      </c>
      <c r="C2185" s="7">
        <f>"adj. 令人吃惊的"</f>
        <v/>
      </c>
      <c r="G2185" s="18">
        <f>HYPERLINK("D:\python\英语学习\voices\"&amp;B2185&amp;"_1.mp3","BrE")</f>
        <v/>
      </c>
      <c r="H2185" s="18">
        <f>HYPERLINK("D:\python\英语学习\voices\"&amp;B2185&amp;"_2.mp3","AmE")</f>
        <v/>
      </c>
      <c r="I2185" s="18">
        <f>HYPERLINK("http://dict.youdao.com/w/"&amp;B2185,"有道")</f>
        <v/>
      </c>
    </row>
    <row customHeight="1" ht="42.75" r="2186">
      <c r="B2186" s="1" t="inlineStr">
        <is>
          <t>address</t>
        </is>
      </c>
      <c r="C2186" s="7">
        <f>"vt. 演说；从事；忙于；写姓名地址；向…致辞；与…说话；提出；处理"&amp;CHAR(10)&amp;"n. 地址；演讲；致辞；说话的技巧；称呼"</f>
        <v/>
      </c>
      <c r="E2186" t="inlineStr">
        <is>
          <t>address a speech</t>
        </is>
      </c>
      <c r="G2186" s="18">
        <f>HYPERLINK("D:\python\英语学习\voices\"&amp;B2186&amp;"_1.mp3","BrE")</f>
        <v/>
      </c>
      <c r="H2186" s="18">
        <f>HYPERLINK("D:\python\英语学习\voices\"&amp;B2186&amp;"_2.mp3","AmE")</f>
        <v/>
      </c>
      <c r="I2186" s="18">
        <f>HYPERLINK("http://dict.youdao.com/w/"&amp;B2186,"有道")</f>
        <v/>
      </c>
    </row>
    <row customHeight="1" ht="28.5" r="2187">
      <c r="B2187" s="1" t="inlineStr">
        <is>
          <t>attach</t>
        </is>
      </c>
      <c r="C2187" s="7">
        <f>"vt. 使依附；贴上；系上；使依恋"&amp;CHAR(10)&amp;"vi. 附加；附属；伴随"</f>
        <v/>
      </c>
      <c r="G2187" s="18">
        <f>HYPERLINK("D:\python\英语学习\voices\"&amp;B2187&amp;"_1.mp3","BrE")</f>
        <v/>
      </c>
      <c r="H2187" s="18">
        <f>HYPERLINK("D:\python\英语学习\voices\"&amp;B2187&amp;"_2.mp3","AmE")</f>
        <v/>
      </c>
      <c r="I2187" s="18">
        <f>HYPERLINK("http://dict.youdao.com/w/"&amp;B2187,"有道")</f>
        <v/>
      </c>
    </row>
    <row customHeight="1" ht="28.5" r="2188">
      <c r="B2188" s="1" t="inlineStr">
        <is>
          <t>alike</t>
        </is>
      </c>
      <c r="C2188" s="7">
        <f>"adj. 相似的；相同的"&amp;CHAR(10)&amp;"adv. 以同样的方式；类似于"</f>
        <v/>
      </c>
      <c r="G2188" s="18">
        <f>HYPERLINK("D:\python\英语学习\voices\"&amp;B2188&amp;"_1.mp3","BrE")</f>
        <v/>
      </c>
      <c r="H2188" s="18">
        <f>HYPERLINK("D:\python\英语学习\voices\"&amp;B2188&amp;"_2.mp3","AmE")</f>
        <v/>
      </c>
      <c r="I2188" s="18">
        <f>HYPERLINK("http://dict.youdao.com/w/"&amp;B2188,"有道")</f>
        <v/>
      </c>
    </row>
    <row customHeight="1" ht="29.1" r="2189">
      <c r="B2189" s="1" t="inlineStr">
        <is>
          <t>wary</t>
        </is>
      </c>
      <c r="C2189" s="7">
        <f>"adj. 谨慎的；机警的；惟恐的；考虑周到的"</f>
        <v/>
      </c>
      <c r="G2189" s="18">
        <f>HYPERLINK("D:\python\英语学习\voices\"&amp;B2189&amp;"_1.mp3","BrE")</f>
        <v/>
      </c>
      <c r="H2189" s="18">
        <f>HYPERLINK("D:\python\英语学习\voices\"&amp;B2189&amp;"_2.mp3","AmE")</f>
        <v/>
      </c>
      <c r="I2189" s="18">
        <f>HYPERLINK("http://dict.youdao.com/w/"&amp;B2189,"有道")</f>
        <v/>
      </c>
    </row>
    <row r="2190">
      <c r="B2190" s="1" t="inlineStr">
        <is>
          <t>adynamic</t>
        </is>
      </c>
      <c r="C2190" s="7">
        <f>"adj. [临床] 无力的；衰弱的"</f>
        <v/>
      </c>
      <c r="E2190" s="6" t="inlineStr">
        <is>
          <t>注意发音</t>
        </is>
      </c>
      <c r="G2190" s="18">
        <f>HYPERLINK("D:\python\英语学习\voices\"&amp;B2190&amp;"_1.mp3","BrE")</f>
        <v/>
      </c>
      <c r="H2190" s="18">
        <f>HYPERLINK("D:\python\英语学习\voices\"&amp;B2190&amp;"_2.mp3","AmE")</f>
        <v/>
      </c>
      <c r="I2190" s="18">
        <f>HYPERLINK("http://dict.youdao.com/w/"&amp;B2190,"有道")</f>
        <v/>
      </c>
    </row>
    <row r="2191">
      <c r="B2191" s="1" t="inlineStr">
        <is>
          <t>inability</t>
        </is>
      </c>
      <c r="C2191" s="7">
        <f>"n. 无能力；无才能"</f>
        <v/>
      </c>
      <c r="G2191" s="18">
        <f>HYPERLINK("D:\python\英语学习\voices\"&amp;B2191&amp;"_1.mp3","BrE")</f>
        <v/>
      </c>
      <c r="H2191" s="18">
        <f>HYPERLINK("D:\python\英语学习\voices\"&amp;B2191&amp;"_2.mp3","AmE")</f>
        <v/>
      </c>
      <c r="I2191" s="18">
        <f>HYPERLINK("http://dict.youdao.com/w/"&amp;B2191,"有道")</f>
        <v/>
      </c>
    </row>
    <row customHeight="1" ht="28.5" r="2192">
      <c r="B2192" s="1" t="inlineStr">
        <is>
          <t>provision</t>
        </is>
      </c>
      <c r="C2192" s="7">
        <f>"n. 规定；条款；准备；[经] 供应品"&amp;CHAR(10)&amp;"vt. 供给…食物及必需品"</f>
        <v/>
      </c>
      <c r="D2192" s="10" t="inlineStr">
        <is>
          <t>--provide</t>
        </is>
      </c>
      <c r="G2192" s="18">
        <f>HYPERLINK("D:\python\英语学习\voices\"&amp;B2192&amp;"_1.mp3","BrE")</f>
        <v/>
      </c>
      <c r="H2192" s="18">
        <f>HYPERLINK("D:\python\英语学习\voices\"&amp;B2192&amp;"_2.mp3","AmE")</f>
        <v/>
      </c>
      <c r="I2192" s="18">
        <f>HYPERLINK("http://dict.youdao.com/w/"&amp;B2192,"有道")</f>
        <v/>
      </c>
    </row>
    <row r="2193">
      <c r="B2193" s="1" t="inlineStr">
        <is>
          <t>paradigm</t>
        </is>
      </c>
      <c r="C2193" s="7">
        <f>"n. 范例；词形变化表"</f>
        <v/>
      </c>
      <c r="E2193" s="6" t="inlineStr">
        <is>
          <t>注意发音</t>
        </is>
      </c>
      <c r="G2193" s="18">
        <f>HYPERLINK("D:\python\英语学习\voices\"&amp;B2193&amp;"_1.mp3","BrE")</f>
        <v/>
      </c>
      <c r="H2193" s="18">
        <f>HYPERLINK("D:\python\英语学习\voices\"&amp;B2193&amp;"_2.mp3","AmE")</f>
        <v/>
      </c>
      <c r="I2193" s="18">
        <f>HYPERLINK("http://dict.youdao.com/w/"&amp;B2193,"有道")</f>
        <v/>
      </c>
    </row>
    <row customHeight="1" ht="42.75" r="2194">
      <c r="B2194" s="1" t="inlineStr">
        <is>
          <t>spawn</t>
        </is>
      </c>
      <c r="C2194" s="7">
        <f>"n. 卵；菌丝；产物"&amp;CHAR(10)&amp;"vt. 产卵；酿成，造成；大量生产"&amp;CHAR(10)&amp;"vi. 产卵；大量生产"</f>
        <v/>
      </c>
      <c r="G2194" s="18">
        <f>HYPERLINK("D:\python\英语学习\voices\"&amp;B2194&amp;"_1.mp3","BrE")</f>
        <v/>
      </c>
      <c r="H2194" s="18">
        <f>HYPERLINK("D:\python\英语学习\voices\"&amp;B2194&amp;"_2.mp3","AmE")</f>
        <v/>
      </c>
      <c r="I2194" s="18">
        <f>HYPERLINK("http://dict.youdao.com/w/"&amp;B2194,"有道")</f>
        <v/>
      </c>
    </row>
    <row r="2195">
      <c r="B2195" s="1" t="inlineStr">
        <is>
          <t>resolution</t>
        </is>
      </c>
      <c r="C2195" s="7">
        <f>"n. [物] 分辨率；决议；解决；决心"</f>
        <v/>
      </c>
      <c r="G2195" s="18">
        <f>HYPERLINK("D:\python\英语学习\voices\"&amp;B2195&amp;"_1.mp3","BrE")</f>
        <v/>
      </c>
      <c r="H2195" s="18">
        <f>HYPERLINK("D:\python\英语学习\voices\"&amp;B2195&amp;"_2.mp3","AmE")</f>
        <v/>
      </c>
      <c r="I2195" s="18">
        <f>HYPERLINK("http://dict.youdao.com/w/"&amp;B2195,"有道")</f>
        <v/>
      </c>
    </row>
    <row customHeight="1" ht="57" r="2196">
      <c r="B2196" s="1" t="inlineStr">
        <is>
          <t>demand</t>
        </is>
      </c>
      <c r="C2196" s="7">
        <f>"vt. 要求；需要；查询"&amp;CHAR(10)&amp;"vi. 需要；请求；查问"&amp;CHAR(10)&amp;"n. [经] 需求；要求；需要"&amp;CHAR(10)&amp;"n. (Demand)人名；(德)德曼德"</f>
        <v/>
      </c>
      <c r="G2196" s="18">
        <f>HYPERLINK("D:\python\英语学习\voices\"&amp;B2196&amp;"_1.mp3","BrE")</f>
        <v/>
      </c>
      <c r="H2196" s="18">
        <f>HYPERLINK("D:\python\英语学习\voices\"&amp;B2196&amp;"_2.mp3","AmE")</f>
        <v/>
      </c>
      <c r="I2196" s="18">
        <f>HYPERLINK("http://dict.youdao.com/w/"&amp;B2196,"有道")</f>
        <v/>
      </c>
    </row>
    <row customHeight="1" ht="42.75" r="2197">
      <c r="B2197" s="1" t="inlineStr">
        <is>
          <t>stress</t>
        </is>
      </c>
      <c r="C2197" s="7">
        <f>"n. 压力；强调；紧张；重要性；重读"&amp;CHAR(10)&amp;"vt. 强调；使紧张；加压力于；用重音读"&amp;CHAR(10)&amp;"n. (Stress)人名；(意)斯特雷斯"</f>
        <v/>
      </c>
      <c r="E2197" s="10" t="inlineStr">
        <is>
          <t>=emphasize</t>
        </is>
      </c>
      <c r="G2197" s="18">
        <f>HYPERLINK("D:\python\英语学习\voices\"&amp;B2197&amp;"_1.mp3","BrE")</f>
        <v/>
      </c>
      <c r="H2197" s="18">
        <f>HYPERLINK("D:\python\英语学习\voices\"&amp;B2197&amp;"_2.mp3","AmE")</f>
        <v/>
      </c>
      <c r="I2197" s="18">
        <f>HYPERLINK("http://dict.youdao.com/w/"&amp;B2197,"有道")</f>
        <v/>
      </c>
    </row>
    <row r="2198">
      <c r="B2198" s="1" t="inlineStr">
        <is>
          <t>expressly</t>
        </is>
      </c>
      <c r="C2198" s="7">
        <f>"adv. 清楚地，明显地；特别地，专门地"</f>
        <v/>
      </c>
      <c r="E2198" s="10" t="inlineStr">
        <is>
          <t>=especially</t>
        </is>
      </c>
      <c r="G2198" s="18">
        <f>HYPERLINK("D:\python\英语学习\voices\"&amp;B2198&amp;"_1.mp3","BrE")</f>
        <v/>
      </c>
      <c r="H2198" s="18">
        <f>HYPERLINK("D:\python\英语学习\voices\"&amp;B2198&amp;"_2.mp3","AmE")</f>
        <v/>
      </c>
      <c r="I2198" s="18">
        <f>HYPERLINK("http://dict.youdao.com/w/"&amp;B2198,"有道")</f>
        <v/>
      </c>
    </row>
    <row customHeight="1" ht="28.5" r="2199">
      <c r="B2199" s="1" t="inlineStr">
        <is>
          <t>riches</t>
        </is>
      </c>
      <c r="C2199" s="7">
        <f>"n. 财富；富有；房地产（rich的复数）"&amp;CHAR(10)&amp;"n. (Riches)人名；(意)里凯斯；(英)里奇斯"</f>
        <v/>
      </c>
      <c r="G2199" s="18">
        <f>HYPERLINK("D:\python\英语学习\voices\"&amp;B2199&amp;"_1.mp3","BrE")</f>
        <v/>
      </c>
      <c r="H2199" s="18">
        <f>HYPERLINK("D:\python\英语学习\voices\"&amp;B2199&amp;"_2.mp3","AmE")</f>
        <v/>
      </c>
      <c r="I2199" s="18">
        <f>HYPERLINK("http://dict.youdao.com/w/"&amp;B2199,"有道")</f>
        <v/>
      </c>
    </row>
    <row customHeight="1" ht="71.25" r="2200">
      <c r="A2200" s="1" t="inlineStr">
        <is>
          <t>practice</t>
        </is>
      </c>
      <c r="B2200" s="1" t="inlineStr">
        <is>
          <t>rapture</t>
        </is>
      </c>
      <c r="C2200" s="7">
        <f>"n. 兴高采烈"&amp;CHAR(10)&amp;"vt. 使…狂喜"</f>
        <v/>
      </c>
      <c r="G2200" s="18">
        <f>HYPERLINK("D:\python\英语学习\voices\"&amp;B2200&amp;"_1.mp3","BrE")</f>
        <v/>
      </c>
      <c r="H2200" s="18">
        <f>HYPERLINK("D:\python\英语学习\voices\"&amp;B2200&amp;"_2.mp3","AmE")</f>
        <v/>
      </c>
      <c r="I2200" s="18">
        <f>HYPERLINK("http://dict.youdao.com/w/"&amp;B2200,"有道")</f>
        <v/>
      </c>
    </row>
    <row customHeight="1" ht="28.5" r="2201">
      <c r="B2201" s="1" t="inlineStr">
        <is>
          <t>nowadays</t>
        </is>
      </c>
      <c r="C2201" s="7">
        <f>"adv. 现今；时下"&amp;CHAR(10)&amp;"n. 当今"</f>
        <v/>
      </c>
      <c r="G2201" s="18">
        <f>HYPERLINK("D:\python\英语学习\voices\"&amp;B2201&amp;"_1.mp3","BrE")</f>
        <v/>
      </c>
      <c r="H2201" s="18">
        <f>HYPERLINK("D:\python\英语学习\voices\"&amp;B2201&amp;"_2.mp3","AmE")</f>
        <v/>
      </c>
      <c r="I2201" s="18">
        <f>HYPERLINK("http://dict.youdao.com/w/"&amp;B2201,"有道")</f>
        <v/>
      </c>
    </row>
    <row customHeight="1" ht="28.5" r="2202">
      <c r="B2202" s="1" t="inlineStr">
        <is>
          <t>cause</t>
        </is>
      </c>
      <c r="C2202" s="7">
        <f>"n. 原因；事业；目标"&amp;CHAR(10)&amp;"vt. 引起；使遭受"</f>
        <v/>
      </c>
      <c r="E2202" s="6" t="inlineStr">
        <is>
          <t>事业</t>
        </is>
      </c>
      <c r="G2202" s="18">
        <f>HYPERLINK("D:\python\英语学习\voices\"&amp;B2202&amp;"_1.mp3","BrE")</f>
        <v/>
      </c>
      <c r="H2202" s="18">
        <f>HYPERLINK("D:\python\英语学习\voices\"&amp;B2202&amp;"_2.mp3","AmE")</f>
        <v/>
      </c>
      <c r="I2202" s="18">
        <f>HYPERLINK("http://dict.youdao.com/w/"&amp;B2202,"有道")</f>
        <v/>
      </c>
    </row>
    <row customHeight="1" ht="57" r="2203">
      <c r="B2203" s="1" t="inlineStr">
        <is>
          <t>plain</t>
        </is>
      </c>
      <c r="C2203" s="7">
        <f>"adj. 平的；简单的；朴素的；清晰的"&amp;CHAR(10)&amp;"n. 平原；无格式；朴实无华的东西"&amp;CHAR(10)&amp;"adv. 清楚地；平易地"&amp;CHAR(10)&amp;"n. (Plain)人名；(英)普莱恩；(法)普兰"</f>
        <v/>
      </c>
      <c r="G2203" s="18">
        <f>HYPERLINK("D:\python\英语学习\voices\"&amp;B2203&amp;"_1.mp3","BrE")</f>
        <v/>
      </c>
      <c r="H2203" s="18">
        <f>HYPERLINK("D:\python\英语学习\voices\"&amp;B2203&amp;"_2.mp3","AmE")</f>
        <v/>
      </c>
      <c r="I2203" s="18">
        <f>HYPERLINK("http://dict.youdao.com/w/"&amp;B2203,"有道")</f>
        <v/>
      </c>
    </row>
    <row customHeight="1" ht="42.75" r="2204">
      <c r="B2204" s="1" t="inlineStr">
        <is>
          <t>executive</t>
        </is>
      </c>
      <c r="C2204" s="7">
        <f>"adj. 行政的；经营的；执行的，经营管理的"&amp;CHAR(10)&amp;"n. 总经理；执行委员会；执行者；经理主管人员"</f>
        <v/>
      </c>
      <c r="G2204" s="18">
        <f>HYPERLINK("D:\python\英语学习\voices\"&amp;B2204&amp;"_1.mp3","BrE")</f>
        <v/>
      </c>
      <c r="H2204" s="18">
        <f>HYPERLINK("D:\python\英语学习\voices\"&amp;B2204&amp;"_2.mp3","AmE")</f>
        <v/>
      </c>
      <c r="I2204" s="18">
        <f>HYPERLINK("http://dict.youdao.com/w/"&amp;B2204,"有道")</f>
        <v/>
      </c>
    </row>
    <row customHeight="1" ht="42.75" r="2205">
      <c r="B2205" s="1" t="inlineStr">
        <is>
          <t>specific</t>
        </is>
      </c>
      <c r="C2205" s="7">
        <f>"adj. 特殊的，特定的；明确的；详细的；[药] 具有特效的"&amp;CHAR(10)&amp;"n. 特性；细节；特效药"</f>
        <v/>
      </c>
      <c r="G2205" s="18">
        <f>HYPERLINK("D:\python\英语学习\voices\"&amp;B2205&amp;"_1.mp3","BrE")</f>
        <v/>
      </c>
      <c r="H2205" s="18">
        <f>HYPERLINK("D:\python\英语学习\voices\"&amp;B2205&amp;"_2.mp3","AmE")</f>
        <v/>
      </c>
      <c r="I2205" s="18">
        <f>HYPERLINK("http://dict.youdao.com/w/"&amp;B2205,"有道")</f>
        <v/>
      </c>
    </row>
    <row r="2206">
      <c r="B2206" s="1" t="inlineStr">
        <is>
          <t>thrive</t>
        </is>
      </c>
      <c r="C2206" s="7">
        <f>"vi. 繁荣，兴旺；茁壮成长"</f>
        <v/>
      </c>
      <c r="G2206" s="18">
        <f>HYPERLINK("D:\python\英语学习\voices\"&amp;B2206&amp;"_1.mp3","BrE")</f>
        <v/>
      </c>
      <c r="H2206" s="18">
        <f>HYPERLINK("D:\python\英语学习\voices\"&amp;B2206&amp;"_2.mp3","AmE")</f>
        <v/>
      </c>
      <c r="I2206" s="18">
        <f>HYPERLINK("http://dict.youdao.com/w/"&amp;B2206,"有道")</f>
        <v/>
      </c>
    </row>
    <row customHeight="1" ht="28.5" r="2207">
      <c r="A2207" s="1" t="inlineStr">
        <is>
          <t>practice</t>
        </is>
      </c>
      <c r="B2207" s="1" t="inlineStr">
        <is>
          <t>rear</t>
        </is>
      </c>
      <c r="C2207" s="7">
        <f>"vt. 培养；树立；栽种"&amp;CHAR(10)&amp;"vi. 暴跳；高耸"&amp;CHAR(10)&amp;"adv. 向后；在后面"&amp;CHAR(10)&amp;"adj. 后方的；后面的；背面的"&amp;CHAR(10)&amp;"n. 后面；屁股；后方部队"</f>
        <v/>
      </c>
      <c r="G2207" s="18">
        <f>HYPERLINK("D:\python\英语学习\voices\"&amp;B2207&amp;"_1.mp3","BrE")</f>
        <v/>
      </c>
      <c r="H2207" s="18">
        <f>HYPERLINK("D:\python\英语学习\voices\"&amp;B2207&amp;"_2.mp3","AmE")</f>
        <v/>
      </c>
      <c r="I2207" s="18">
        <f>HYPERLINK("http://dict.youdao.com/w/"&amp;B2207,"有道")</f>
        <v/>
      </c>
    </row>
    <row customHeight="1" ht="28.5" r="2208">
      <c r="B2208" s="1" t="inlineStr">
        <is>
          <t>propose</t>
        </is>
      </c>
      <c r="C2208" s="7">
        <f>"vt. 建议；打算，计划；求婚"&amp;CHAR(10)&amp;"vi. 建议；求婚；打算"</f>
        <v/>
      </c>
      <c r="G2208" s="18">
        <f>HYPERLINK("D:\python\英语学习\voices\"&amp;B2208&amp;"_1.mp3","BrE")</f>
        <v/>
      </c>
      <c r="H2208" s="18">
        <f>HYPERLINK("D:\python\英语学习\voices\"&amp;B2208&amp;"_2.mp3","AmE")</f>
        <v/>
      </c>
      <c r="I2208" s="18">
        <f>HYPERLINK("http://dict.youdao.com/w/"&amp;B2208,"有道")</f>
        <v/>
      </c>
    </row>
    <row r="2209">
      <c r="B2209" s="1" t="inlineStr">
        <is>
          <t>dogma</t>
        </is>
      </c>
      <c r="C2209" s="7">
        <f>"n. 教条，教理；武断的意见"</f>
        <v/>
      </c>
      <c r="G2209" s="18">
        <f>HYPERLINK("D:\python\英语学习\voices\"&amp;B2209&amp;"_1.mp3","BrE")</f>
        <v/>
      </c>
      <c r="H2209" s="18">
        <f>HYPERLINK("D:\python\英语学习\voices\"&amp;B2209&amp;"_2.mp3","AmE")</f>
        <v/>
      </c>
      <c r="I2209" s="18">
        <f>HYPERLINK("http://dict.youdao.com/w/"&amp;B2209,"有道")</f>
        <v/>
      </c>
    </row>
    <row r="2210">
      <c r="B2210" s="1" t="inlineStr">
        <is>
          <t>dogmatic</t>
        </is>
      </c>
      <c r="C2210" s="7">
        <f>"adj. 教条的；武断的"</f>
        <v/>
      </c>
      <c r="G2210" s="18">
        <f>HYPERLINK("D:\python\英语学习\voices\"&amp;B2210&amp;"_1.mp3","BrE")</f>
        <v/>
      </c>
      <c r="H2210" s="18">
        <f>HYPERLINK("D:\python\英语学习\voices\"&amp;B2210&amp;"_2.mp3","AmE")</f>
        <v/>
      </c>
      <c r="I2210" s="18">
        <f>HYPERLINK("http://dict.youdao.com/w/"&amp;B2210,"有道")</f>
        <v/>
      </c>
    </row>
    <row customHeight="1" ht="28.5" r="2211">
      <c r="B2211" s="1" t="inlineStr">
        <is>
          <t>orthodox</t>
        </is>
      </c>
      <c r="C2211" s="7">
        <f>"adj. 正统的；传统的；惯常的；东正教的"&amp;CHAR(10)&amp;"n. 正统的人；正统的事物"</f>
        <v/>
      </c>
      <c r="E2211" s="16" t="inlineStr">
        <is>
          <t>注意拼写-tho没有r</t>
        </is>
      </c>
      <c r="G2211" s="18">
        <f>HYPERLINK("D:\python\英语学习\voices\"&amp;B2211&amp;"_1.mp3","BrE")</f>
        <v/>
      </c>
      <c r="H2211" s="18">
        <f>HYPERLINK("D:\python\英语学习\voices\"&amp;B2211&amp;"_2.mp3","AmE")</f>
        <v/>
      </c>
      <c r="I2211" s="18">
        <f>HYPERLINK("http://dict.youdao.com/w/"&amp;B2211,"有道")</f>
        <v/>
      </c>
    </row>
    <row customHeight="1" ht="57" r="2212">
      <c r="B2212" s="1" t="inlineStr">
        <is>
          <t>paradox</t>
        </is>
      </c>
      <c r="C2212" s="7">
        <f>"n. 悖论，反论；似是而非的论点；自相矛盾的人或事"&amp;CHAR(10)&amp;"n. （Paradox）《杀破狼：贪狼》（一部剧情动作电影）"</f>
        <v/>
      </c>
      <c r="G2212" s="18">
        <f>HYPERLINK("D:\python\英语学习\voices\"&amp;B2212&amp;"_1.mp3","BrE")</f>
        <v/>
      </c>
      <c r="H2212" s="18">
        <f>HYPERLINK("D:\python\英语学习\voices\"&amp;B2212&amp;"_2.mp3","AmE")</f>
        <v/>
      </c>
      <c r="I2212" s="18">
        <f>HYPERLINK("http://dict.youdao.com/w/"&amp;B2212,"有道")</f>
        <v/>
      </c>
    </row>
    <row customHeight="1" ht="28.5" r="2213">
      <c r="B2213" s="1" t="inlineStr">
        <is>
          <t>infringe</t>
        </is>
      </c>
      <c r="C2213" s="7">
        <f>"vt. 侵犯；违反；破坏"&amp;CHAR(10)&amp;"vi. 侵犯；侵害"</f>
        <v/>
      </c>
      <c r="E2213" s="6" t="inlineStr">
        <is>
          <t>常用于法律</t>
        </is>
      </c>
      <c r="G2213" s="18">
        <f>HYPERLINK("D:\python\英语学习\voices\"&amp;B2213&amp;"_1.mp3","BrE")</f>
        <v/>
      </c>
      <c r="H2213" s="18">
        <f>HYPERLINK("D:\python\英语学习\voices\"&amp;B2213&amp;"_2.mp3","AmE")</f>
        <v/>
      </c>
      <c r="I2213" s="18">
        <f>HYPERLINK("http://dict.youdao.com/w/"&amp;B2213,"有道")</f>
        <v/>
      </c>
    </row>
    <row r="2214">
      <c r="B2214" s="1" t="inlineStr">
        <is>
          <t>infringement</t>
        </is>
      </c>
      <c r="C2214" s="7">
        <f>"n. 侵犯；违反"</f>
        <v/>
      </c>
      <c r="G2214" s="18">
        <f>HYPERLINK("D:\python\英语学习\voices\"&amp;B2214&amp;"_1.mp3","BrE")</f>
        <v/>
      </c>
      <c r="H2214" s="18">
        <f>HYPERLINK("D:\python\英语学习\voices\"&amp;B2214&amp;"_2.mp3","AmE")</f>
        <v/>
      </c>
      <c r="I2214" s="18">
        <f>HYPERLINK("http://dict.youdao.com/w/"&amp;B2214,"有道")</f>
        <v/>
      </c>
    </row>
    <row customHeight="1" ht="28.5" r="2215">
      <c r="B2215" s="1" t="inlineStr">
        <is>
          <t>underway</t>
        </is>
      </c>
      <c r="C2215" s="7">
        <f>"adj. 进行中的；起步的；航行中的"&amp;CHAR(10)&amp;"n. [公路] 水底通道"</f>
        <v/>
      </c>
      <c r="G2215" s="18">
        <f>HYPERLINK("D:\python\英语学习\voices\"&amp;B2215&amp;"_1.mp3","BrE")</f>
        <v/>
      </c>
      <c r="H2215" s="18">
        <f>HYPERLINK("D:\python\英语学习\voices\"&amp;B2215&amp;"_2.mp3","AmE")</f>
        <v/>
      </c>
      <c r="I2215" s="18">
        <f>HYPERLINK("http://dict.youdao.com/w/"&amp;B2215,"有道")</f>
        <v/>
      </c>
    </row>
    <row r="2216">
      <c r="B2216" s="1" t="inlineStr">
        <is>
          <t>convey</t>
        </is>
      </c>
      <c r="C2216" s="7">
        <f>"vt. 传达；运输；让与"</f>
        <v/>
      </c>
      <c r="E2216" s="6" t="inlineStr">
        <is>
          <t>本意是运输</t>
        </is>
      </c>
      <c r="G2216" s="18">
        <f>HYPERLINK("D:\python\英语学习\voices\"&amp;B2216&amp;"_1.mp3","BrE")</f>
        <v/>
      </c>
      <c r="H2216" s="18">
        <f>HYPERLINK("D:\python\英语学习\voices\"&amp;B2216&amp;"_2.mp3","AmE")</f>
        <v/>
      </c>
      <c r="I2216" s="18">
        <f>HYPERLINK("http://dict.youdao.com/w/"&amp;B2216,"有道")</f>
        <v/>
      </c>
    </row>
    <row r="2217">
      <c r="B2217" s="1" t="inlineStr">
        <is>
          <t>via</t>
        </is>
      </c>
      <c r="C2217" s="7">
        <f>"prep. 渠道，通过；经由"</f>
        <v/>
      </c>
      <c r="E2217" s="10" t="inlineStr">
        <is>
          <t>=by way of</t>
        </is>
      </c>
      <c r="G2217" s="18">
        <f>HYPERLINK("D:\python\英语学习\voices\"&amp;B2217&amp;"_1.mp3","BrE")</f>
        <v/>
      </c>
      <c r="H2217" s="18">
        <f>HYPERLINK("D:\python\英语学习\voices\"&amp;B2217&amp;"_2.mp3","AmE")</f>
        <v/>
      </c>
      <c r="I2217" s="18">
        <f>HYPERLINK("http://dict.youdao.com/w/"&amp;B2217,"有道")</f>
        <v/>
      </c>
    </row>
    <row r="2218">
      <c r="B2218" s="1" t="inlineStr">
        <is>
          <t>vain</t>
        </is>
      </c>
      <c r="C2218" s="7">
        <f>"adj. 徒劳的；自负的；无结果的；无用的"</f>
        <v/>
      </c>
      <c r="E2218" s="6" t="inlineStr">
        <is>
          <t>好多意思-自负的</t>
        </is>
      </c>
      <c r="G2218" s="18">
        <f>HYPERLINK("D:\python\英语学习\voices\"&amp;B2218&amp;"_1.mp3","BrE")</f>
        <v/>
      </c>
      <c r="H2218" s="18">
        <f>HYPERLINK("D:\python\英语学习\voices\"&amp;B2218&amp;"_2.mp3","AmE")</f>
        <v/>
      </c>
      <c r="I2218" s="18">
        <f>HYPERLINK("http://dict.youdao.com/w/"&amp;B2218,"有道")</f>
        <v/>
      </c>
    </row>
    <row customHeight="1" ht="28.5" r="2219">
      <c r="B2219" s="1" t="inlineStr">
        <is>
          <t>recognize</t>
        </is>
      </c>
      <c r="C2219" s="7">
        <f>"vt. 认出，识别；承认"&amp;CHAR(10)&amp;"vi. 确认，承认；具结"</f>
        <v/>
      </c>
      <c r="E2219" s="6" t="inlineStr">
        <is>
          <t>好多意思</t>
        </is>
      </c>
      <c r="G2219" s="18">
        <f>HYPERLINK("D:\python\英语学习\voices\"&amp;B2219&amp;"_1.mp3","BrE")</f>
        <v/>
      </c>
      <c r="H2219" s="18">
        <f>HYPERLINK("D:\python\英语学习\voices\"&amp;B2219&amp;"_2.mp3","AmE")</f>
        <v/>
      </c>
      <c r="I2219" s="18">
        <f>HYPERLINK("http://dict.youdao.com/w/"&amp;B2219,"有道")</f>
        <v/>
      </c>
    </row>
    <row r="2220">
      <c r="B2220" s="1" t="inlineStr">
        <is>
          <t>cognitive</t>
        </is>
      </c>
      <c r="C2220" s="7">
        <f>"adj. 认知的，认识的"</f>
        <v/>
      </c>
      <c r="G2220" s="18">
        <f>HYPERLINK("D:\python\英语学习\voices\"&amp;B2220&amp;"_1.mp3","BrE")</f>
        <v/>
      </c>
      <c r="H2220" s="18">
        <f>HYPERLINK("D:\python\英语学习\voices\"&amp;B2220&amp;"_2.mp3","AmE")</f>
        <v/>
      </c>
      <c r="I2220" s="18">
        <f>HYPERLINK("http://dict.youdao.com/w/"&amp;B2220,"有道")</f>
        <v/>
      </c>
    </row>
    <row r="2221">
      <c r="B2221" s="1" t="inlineStr">
        <is>
          <t>responsive</t>
        </is>
      </c>
      <c r="C2221" s="7">
        <f>"adj. 响应的；应答的；回答的"</f>
        <v/>
      </c>
      <c r="E2221" s="6" t="inlineStr">
        <is>
          <t>‘=answer for</t>
        </is>
      </c>
      <c r="G2221" s="18">
        <f>HYPERLINK("D:\python\英语学习\voices\"&amp;B2221&amp;"_1.mp3","BrE")</f>
        <v/>
      </c>
      <c r="H2221" s="18">
        <f>HYPERLINK("D:\python\英语学习\voices\"&amp;B2221&amp;"_2.mp3","AmE")</f>
        <v/>
      </c>
      <c r="I2221" s="18">
        <f>HYPERLINK("http://dict.youdao.com/w/"&amp;B2221,"有道")</f>
        <v/>
      </c>
    </row>
    <row customHeight="1" ht="28.5" r="2222">
      <c r="B2222" s="1" t="inlineStr">
        <is>
          <t>visionary</t>
        </is>
      </c>
      <c r="C2222" s="7">
        <f>"adj. 有远见的；宗教幻觉的；空想的；梦想的"&amp;CHAR(10)&amp;"n. 有眼光的人；出现宗教幻觉的人；梦想家"</f>
        <v/>
      </c>
      <c r="D2222" s="6" t="inlineStr">
        <is>
          <t>vision</t>
        </is>
      </c>
      <c r="G2222" s="18">
        <f>HYPERLINK("D:\python\英语学习\voices\"&amp;B2222&amp;"_1.mp3","BrE")</f>
        <v/>
      </c>
      <c r="H2222" s="18">
        <f>HYPERLINK("D:\python\英语学习\voices\"&amp;B2222&amp;"_2.mp3","AmE")</f>
        <v/>
      </c>
      <c r="I2222" s="18">
        <f>HYPERLINK("http://dict.youdao.com/w/"&amp;B2222,"有道")</f>
        <v/>
      </c>
    </row>
    <row customHeight="1" ht="42.75" r="2223">
      <c r="B2223" s="1" t="inlineStr">
        <is>
          <t>vision</t>
        </is>
      </c>
      <c r="C2223" s="7">
        <f>"n. 视力；美景；眼力；幻象；想象力；幻视（漫威漫画旗下超级英雄）"&amp;CHAR(10)&amp;"vt. 想象；显现；梦见"</f>
        <v/>
      </c>
      <c r="E2223" s="6" t="inlineStr">
        <is>
          <t>好多意思</t>
        </is>
      </c>
      <c r="G2223" s="18">
        <f>HYPERLINK("D:\python\英语学习\voices\"&amp;B2223&amp;"_1.mp3","BrE")</f>
        <v/>
      </c>
      <c r="H2223" s="18">
        <f>HYPERLINK("D:\python\英语学习\voices\"&amp;B2223&amp;"_2.mp3","AmE")</f>
        <v/>
      </c>
      <c r="I2223" s="18">
        <f>HYPERLINK("http://dict.youdao.com/w/"&amp;B2223,"有道")</f>
        <v/>
      </c>
    </row>
    <row r="2224">
      <c r="B2224" s="1" t="inlineStr">
        <is>
          <t>envisage</t>
        </is>
      </c>
      <c r="C2224" s="7">
        <f>"vt. 正视，面对；想像"</f>
        <v/>
      </c>
      <c r="G2224" s="18">
        <f>HYPERLINK("D:\python\英语学习\voices\"&amp;B2224&amp;"_1.mp3","BrE")</f>
        <v/>
      </c>
      <c r="H2224" s="18">
        <f>HYPERLINK("D:\python\英语学习\voices\"&amp;B2224&amp;"_2.mp3","AmE")</f>
        <v/>
      </c>
      <c r="I2224" s="18">
        <f>HYPERLINK("http://dict.youdao.com/w/"&amp;B2224,"有道")</f>
        <v/>
      </c>
    </row>
    <row customHeight="1" ht="28.5" r="2225">
      <c r="B2225" s="1" t="inlineStr">
        <is>
          <t>visualize</t>
        </is>
      </c>
      <c r="C2225" s="7">
        <f>"vt. 形象，形象化；想像，设想"&amp;CHAR(10)&amp;"vi. 显现"</f>
        <v/>
      </c>
      <c r="E2225" s="6" t="inlineStr">
        <is>
          <t>勿望词生意</t>
        </is>
      </c>
      <c r="G2225" s="18">
        <f>HYPERLINK("D:\python\英语学习\voices\"&amp;B2225&amp;"_1.mp3","BrE")</f>
        <v/>
      </c>
      <c r="H2225" s="18">
        <f>HYPERLINK("D:\python\英语学习\voices\"&amp;B2225&amp;"_2.mp3","AmE")</f>
        <v/>
      </c>
      <c r="I2225" s="18">
        <f>HYPERLINK("http://dict.youdao.com/w/"&amp;B2225,"有道")</f>
        <v/>
      </c>
    </row>
    <row r="2226">
      <c r="B2226" s="1" t="inlineStr">
        <is>
          <t>acquisition</t>
        </is>
      </c>
      <c r="C2226" s="7">
        <f>"n. 获得物，获得；收购"</f>
        <v/>
      </c>
      <c r="G2226" s="18">
        <f>HYPERLINK("D:\python\英语学习\voices\"&amp;B2226&amp;"_1.mp3","BrE")</f>
        <v/>
      </c>
      <c r="H2226" s="18">
        <f>HYPERLINK("D:\python\英语学习\voices\"&amp;B2226&amp;"_2.mp3","AmE")</f>
        <v/>
      </c>
      <c r="I2226" s="18">
        <f>HYPERLINK("http://dict.youdao.com/w/"&amp;B2226,"有道")</f>
        <v/>
      </c>
    </row>
    <row r="2227">
      <c r="B2227" s="1" t="inlineStr">
        <is>
          <t>reconciliation</t>
        </is>
      </c>
      <c r="C2227" s="7">
        <f>"n. 和解；调和；和谐；甘愿"</f>
        <v/>
      </c>
      <c r="D2227" s="6" t="inlineStr">
        <is>
          <t>reconcile</t>
        </is>
      </c>
      <c r="E2227" s="6" t="inlineStr">
        <is>
          <t>注意拼写-ciliation</t>
        </is>
      </c>
      <c r="G2227" s="18">
        <f>HYPERLINK("D:\python\英语学习\voices\"&amp;B2227&amp;"_1.mp3","BrE")</f>
        <v/>
      </c>
      <c r="H2227" s="18">
        <f>HYPERLINK("D:\python\英语学习\voices\"&amp;B2227&amp;"_2.mp3","AmE")</f>
        <v/>
      </c>
      <c r="I2227" s="18">
        <f>HYPERLINK("http://dict.youdao.com/w/"&amp;B2227,"有道")</f>
        <v/>
      </c>
    </row>
    <row customHeight="1" ht="28.5" r="2228">
      <c r="B2228" s="1" t="inlineStr">
        <is>
          <t>deport</t>
        </is>
      </c>
      <c r="C2228" s="7">
        <f>"vt. 驱逐出境；举止；放逐"&amp;CHAR(10)&amp;"n. (Deport)人名；(捷)德波特；(法)德波尔"</f>
        <v/>
      </c>
      <c r="G2228" s="18">
        <f>HYPERLINK("D:\python\英语学习\voices\"&amp;B2228&amp;"_1.mp3","BrE")</f>
        <v/>
      </c>
      <c r="H2228" s="18">
        <f>HYPERLINK("D:\python\英语学习\voices\"&amp;B2228&amp;"_2.mp3","AmE")</f>
        <v/>
      </c>
      <c r="I2228" s="18">
        <f>HYPERLINK("http://dict.youdao.com/w/"&amp;B2228,"有道")</f>
        <v/>
      </c>
    </row>
    <row customHeight="1" ht="28.5" r="2229">
      <c r="B2229" s="1" t="inlineStr">
        <is>
          <t>deter</t>
        </is>
      </c>
      <c r="C2229" s="7">
        <f>"vt. 制止，阻止；使打消念头"&amp;CHAR(10)&amp;"n. (Deter)人名；(德)德特尔"</f>
        <v/>
      </c>
      <c r="G2229" s="18">
        <f>HYPERLINK("D:\python\英语学习\voices\"&amp;B2229&amp;"_1.mp3","BrE")</f>
        <v/>
      </c>
      <c r="H2229" s="18">
        <f>HYPERLINK("D:\python\英语学习\voices\"&amp;B2229&amp;"_2.mp3","AmE")</f>
        <v/>
      </c>
      <c r="I2229" s="18">
        <f>HYPERLINK("http://dict.youdao.com/w/"&amp;B2229,"有道")</f>
        <v/>
      </c>
    </row>
    <row r="2230">
      <c r="B2230" s="1" t="inlineStr">
        <is>
          <t>terrain</t>
        </is>
      </c>
      <c r="C2230" s="7">
        <f>"n. [地理] 地形，地势；领域；地带"</f>
        <v/>
      </c>
      <c r="G2230" s="18">
        <f>HYPERLINK("D:\python\英语学习\voices\"&amp;B2230&amp;"_1.mp3","BrE")</f>
        <v/>
      </c>
      <c r="H2230" s="18">
        <f>HYPERLINK("D:\python\英语学习\voices\"&amp;B2230&amp;"_2.mp3","AmE")</f>
        <v/>
      </c>
      <c r="I2230" s="18">
        <f>HYPERLINK("http://dict.youdao.com/w/"&amp;B2230,"有道")</f>
        <v/>
      </c>
    </row>
    <row customHeight="1" ht="57" r="2231">
      <c r="A2231" s="1" t="inlineStr">
        <is>
          <t>practice</t>
        </is>
      </c>
      <c r="B2231" s="1" t="inlineStr">
        <is>
          <t>rebate</t>
        </is>
      </c>
      <c r="C2231" s="7">
        <f>"vt. 减少；打折扣"&amp;CHAR(10)&amp;"vi. 退还部分付款，打折扣"&amp;CHAR(10)&amp;"n. 折扣"&amp;CHAR(10)&amp;"n. (Rebate)人名；(西)雷瓦特"</f>
        <v/>
      </c>
      <c r="G2231" s="18">
        <f>HYPERLINK("D:\python\英语学习\voices\"&amp;B2231&amp;"_1.mp3","BrE")</f>
        <v/>
      </c>
      <c r="H2231" s="18">
        <f>HYPERLINK("D:\python\英语学习\voices\"&amp;B2231&amp;"_2.mp3","AmE")</f>
        <v/>
      </c>
      <c r="I2231" s="18">
        <f>HYPERLINK("http://dict.youdao.com/w/"&amp;B2231,"有道")</f>
        <v/>
      </c>
    </row>
    <row customHeight="1" ht="42.75" r="2232">
      <c r="B2232" s="1" t="inlineStr">
        <is>
          <t>concurrent</t>
        </is>
      </c>
      <c r="C2232" s="7">
        <f>"adj. adj. 并发的；一致的；同时发生的；并存的"&amp;CHAR(10)&amp;"n. [数] 共点；同时发生的事件"</f>
        <v/>
      </c>
      <c r="G2232" s="18">
        <f>HYPERLINK("D:\python\英语学习\voices\"&amp;B2232&amp;"_1.mp3","BrE")</f>
        <v/>
      </c>
      <c r="H2232" s="18">
        <f>HYPERLINK("D:\python\英语学习\voices\"&amp;B2232&amp;"_2.mp3","AmE")</f>
        <v/>
      </c>
      <c r="I2232" s="18">
        <f>HYPERLINK("http://dict.youdao.com/w/"&amp;B2232,"有道")</f>
        <v/>
      </c>
    </row>
    <row r="2233">
      <c r="B2233" s="1" t="inlineStr">
        <is>
          <t>concurrently</t>
        </is>
      </c>
      <c r="C2233" s="7">
        <f>"adv. 兼；同时发生地"</f>
        <v/>
      </c>
      <c r="G2233" s="18">
        <f>HYPERLINK("D:\python\英语学习\voices\"&amp;B2233&amp;"_1.mp3","BrE")</f>
        <v/>
      </c>
      <c r="H2233" s="18">
        <f>HYPERLINK("D:\python\英语学习\voices\"&amp;B2233&amp;"_2.mp3","AmE")</f>
        <v/>
      </c>
      <c r="I2233" s="18">
        <f>HYPERLINK("http://dict.youdao.com/w/"&amp;B2233,"有道")</f>
        <v/>
      </c>
    </row>
    <row r="2234">
      <c r="A2234" s="1" t="inlineStr">
        <is>
          <t>practice</t>
        </is>
      </c>
      <c r="B2234" s="1" t="inlineStr">
        <is>
          <t>reconcile</t>
        </is>
      </c>
      <c r="C2234" s="7">
        <f>"vt. 使一致；使和解；调停，调解；使顺从"</f>
        <v/>
      </c>
      <c r="E2234" s="6" t="inlineStr">
        <is>
          <t>注意拼写-cile!</t>
        </is>
      </c>
      <c r="G2234" s="18">
        <f>HYPERLINK("D:\python\英语学习\voices\"&amp;B2234&amp;"_1.mp3","BrE")</f>
        <v/>
      </c>
      <c r="H2234" s="18">
        <f>HYPERLINK("D:\python\英语学习\voices\"&amp;B2234&amp;"_2.mp3","AmE")</f>
        <v/>
      </c>
      <c r="I2234" s="18">
        <f>HYPERLINK("http://dict.youdao.com/w/"&amp;B2234,"有道")</f>
        <v/>
      </c>
    </row>
    <row r="2235">
      <c r="A2235" s="1" t="inlineStr">
        <is>
          <t>unnecessary</t>
        </is>
      </c>
      <c r="B2235" s="1" t="inlineStr">
        <is>
          <t>bankruptcy</t>
        </is>
      </c>
      <c r="C2235" s="7">
        <f>"n. 破产"</f>
        <v/>
      </c>
      <c r="G2235" s="18">
        <f>HYPERLINK("D:\python\英语学习\voices\"&amp;B2235&amp;"_1.mp3","BrE")</f>
        <v/>
      </c>
      <c r="H2235" s="18">
        <f>HYPERLINK("D:\python\英语学习\voices\"&amp;B2235&amp;"_2.mp3","AmE")</f>
        <v/>
      </c>
      <c r="I2235" s="18">
        <f>HYPERLINK("http://dict.youdao.com/w/"&amp;B2235,"有道")</f>
        <v/>
      </c>
    </row>
    <row customHeight="1" ht="42.75" r="2236">
      <c r="B2236" s="1" t="inlineStr">
        <is>
          <t>disrupt</t>
        </is>
      </c>
      <c r="C2236" s="7">
        <f>"vt. 破坏；使瓦解；使分裂；使中断；使陷于混乱"&amp;CHAR(10)&amp;"adj. 分裂的，中断的；分散的"</f>
        <v/>
      </c>
      <c r="G2236" s="18">
        <f>HYPERLINK("D:\python\英语学习\voices\"&amp;B2236&amp;"_1.mp3","BrE")</f>
        <v/>
      </c>
      <c r="H2236" s="18">
        <f>HYPERLINK("D:\python\英语学习\voices\"&amp;B2236&amp;"_2.mp3","AmE")</f>
        <v/>
      </c>
      <c r="I2236" s="18">
        <f>HYPERLINK("http://dict.youdao.com/w/"&amp;B2236,"有道")</f>
        <v/>
      </c>
    </row>
    <row customHeight="1" ht="42.75" r="2237">
      <c r="B2237" s="1" t="inlineStr">
        <is>
          <t>rupture</t>
        </is>
      </c>
      <c r="C2237" s="7">
        <f>"n. 破裂；决裂；疝气"&amp;CHAR(10)&amp;"vi. 破裂；发疝气"&amp;CHAR(10)&amp;"vt. 使破裂；断绝；发生疝"</f>
        <v/>
      </c>
      <c r="D2237" s="6" t="inlineStr">
        <is>
          <t>erupt-bankrupt-disrupt-interrupt-abrupt</t>
        </is>
      </c>
      <c r="E2237" s="6" t="inlineStr">
        <is>
          <t>rapture狂喜</t>
        </is>
      </c>
      <c r="G2237" s="18">
        <f>HYPERLINK("D:\python\英语学习\voices\"&amp;B2237&amp;"_1.mp3","BrE")</f>
        <v/>
      </c>
      <c r="H2237" s="18">
        <f>HYPERLINK("D:\python\英语学习\voices\"&amp;B2237&amp;"_2.mp3","AmE")</f>
        <v/>
      </c>
      <c r="I2237" s="18">
        <f>HYPERLINK("http://dict.youdao.com/w/"&amp;B2237,"有道")</f>
        <v/>
      </c>
    </row>
    <row customHeight="1" ht="42.75" r="2238">
      <c r="B2238" s="1" t="inlineStr">
        <is>
          <t>interrupt</t>
        </is>
      </c>
      <c r="C2238" s="7">
        <f>"vt. 中断；打断；插嘴；妨碍"&amp;CHAR(10)&amp;"vi. 打断；打扰"&amp;CHAR(10)&amp;"n. 中断"</f>
        <v/>
      </c>
      <c r="E2238" s="6" t="inlineStr">
        <is>
          <t>注意拼写-rr</t>
        </is>
      </c>
      <c r="G2238" s="18">
        <f>HYPERLINK("D:\python\英语学习\voices\"&amp;B2238&amp;"_1.mp3","BrE")</f>
        <v/>
      </c>
      <c r="H2238" s="18">
        <f>HYPERLINK("D:\python\英语学习\voices\"&amp;B2238&amp;"_2.mp3","AmE")</f>
        <v/>
      </c>
      <c r="I2238" s="18">
        <f>HYPERLINK("http://dict.youdao.com/w/"&amp;B2238,"有道")</f>
        <v/>
      </c>
    </row>
    <row customHeight="1" ht="57" r="2239">
      <c r="B2239" s="1" t="inlineStr">
        <is>
          <t>moderate</t>
        </is>
      </c>
      <c r="C2239" s="7">
        <f>"adj. 稳健的，温和的；适度的，中等的；有节制的"&amp;CHAR(10)&amp;"vi. 变缓和，变弱"&amp;CHAR(10)&amp;"vt. 节制；减轻"</f>
        <v/>
      </c>
      <c r="E2239" s="6" t="inlineStr">
        <is>
          <t>好多意思 moderate exercise适度运动</t>
        </is>
      </c>
      <c r="G2239" s="18">
        <f>HYPERLINK("D:\python\英语学习\voices\"&amp;B2239&amp;"_1.mp3","BrE")</f>
        <v/>
      </c>
      <c r="H2239" s="18">
        <f>HYPERLINK("D:\python\英语学习\voices\"&amp;B2239&amp;"_2.mp3","AmE")</f>
        <v/>
      </c>
      <c r="I2239" s="18">
        <f>HYPERLINK("http://dict.youdao.com/w/"&amp;B2239,"有道")</f>
        <v/>
      </c>
    </row>
    <row customHeight="1" ht="28.5" r="2240">
      <c r="A2240" s="1" t="inlineStr">
        <is>
          <t>practice</t>
        </is>
      </c>
      <c r="B2240" s="1" t="inlineStr">
        <is>
          <t>rejoice</t>
        </is>
      </c>
      <c r="C2240" s="7">
        <f>"vi. 高兴；庆祝"&amp;CHAR(10)&amp;"vt. 使高兴"</f>
        <v/>
      </c>
      <c r="E2240" s="6" t="inlineStr">
        <is>
          <t>飘柔使人高兴</t>
        </is>
      </c>
      <c r="G2240" s="18">
        <f>HYPERLINK("D:\python\英语学习\voices\"&amp;B2240&amp;"_1.mp3","BrE")</f>
        <v/>
      </c>
      <c r="H2240" s="18">
        <f>HYPERLINK("D:\python\英语学习\voices\"&amp;B2240&amp;"_2.mp3","AmE")</f>
        <v/>
      </c>
      <c r="I2240" s="18">
        <f>HYPERLINK("http://dict.youdao.com/w/"&amp;B2240,"有道")</f>
        <v/>
      </c>
    </row>
    <row r="2241">
      <c r="B2241" s="1" t="inlineStr">
        <is>
          <t>accommodation</t>
        </is>
      </c>
      <c r="C2241" s="7">
        <f>"n. 住处，膳宿；调节；和解；预订铺位"</f>
        <v/>
      </c>
      <c r="E2241" s="6" t="inlineStr">
        <is>
          <t>注意拼写-mm</t>
        </is>
      </c>
      <c r="G2241" s="18">
        <f>HYPERLINK("D:\python\英语学习\voices\"&amp;B2241&amp;"_1.mp3","BrE")</f>
        <v/>
      </c>
      <c r="H2241" s="18">
        <f>HYPERLINK("D:\python\英语学习\voices\"&amp;B2241&amp;"_2.mp3","AmE")</f>
        <v/>
      </c>
      <c r="I2241" s="18">
        <f>HYPERLINK("http://dict.youdao.com/w/"&amp;B2241,"有道")</f>
        <v/>
      </c>
    </row>
    <row r="2242">
      <c r="B2242" s="1" t="inlineStr">
        <is>
          <t>moderator</t>
        </is>
      </c>
      <c r="C2242" s="7">
        <f>"n. [核] 慢化剂；仲裁人；调解人；缓和剂"</f>
        <v/>
      </c>
      <c r="D2242" s="6" t="inlineStr">
        <is>
          <t>moderate-温和--&gt;调停</t>
        </is>
      </c>
      <c r="G2242" s="18">
        <f>HYPERLINK("D:\python\英语学习\voices\"&amp;B2242&amp;"_1.mp3","BrE")</f>
        <v/>
      </c>
      <c r="H2242" s="18">
        <f>HYPERLINK("D:\python\英语学习\voices\"&amp;B2242&amp;"_2.mp3","AmE")</f>
        <v/>
      </c>
      <c r="I2242" s="18">
        <f>HYPERLINK("http://dict.youdao.com/w/"&amp;B2242,"有道")</f>
        <v/>
      </c>
    </row>
    <row customHeight="1" ht="28.5" r="2243">
      <c r="A2243" s="1" t="inlineStr">
        <is>
          <t>practice</t>
        </is>
      </c>
      <c r="B2243" s="1" t="inlineStr">
        <is>
          <t>relentless</t>
        </is>
      </c>
      <c r="C2243" s="7">
        <f>"adj. 无情的；残酷的；不间断的"</f>
        <v/>
      </c>
      <c r="D2243" s="6" t="inlineStr">
        <is>
          <t>re-lent-less 不再借钱-无情</t>
        </is>
      </c>
      <c r="E2243" s="6" t="inlineStr">
        <is>
          <t>注意拼写</t>
        </is>
      </c>
      <c r="G2243" s="18">
        <f>HYPERLINK("D:\python\英语学习\voices\"&amp;B2243&amp;"_1.mp3","BrE")</f>
        <v/>
      </c>
      <c r="H2243" s="18">
        <f>HYPERLINK("D:\python\英语学习\voices\"&amp;B2243&amp;"_2.mp3","AmE")</f>
        <v/>
      </c>
      <c r="I2243" s="18">
        <f>HYPERLINK("http://dict.youdao.com/w/"&amp;B2243,"有道")</f>
        <v/>
      </c>
    </row>
    <row customHeight="1" ht="28.5" r="2244">
      <c r="B2244" s="1" t="inlineStr">
        <is>
          <t>supplement</t>
        </is>
      </c>
      <c r="C2244" s="7">
        <f>"vt. 增补，补充"&amp;CHAR(10)&amp;"n. 增补，补充；补充物；增刊，副刊"</f>
        <v/>
      </c>
      <c r="G2244" s="18">
        <f>HYPERLINK("D:\python\英语学习\voices\"&amp;B2244&amp;"_1.mp3","BrE")</f>
        <v/>
      </c>
      <c r="H2244" s="18">
        <f>HYPERLINK("D:\python\英语学习\voices\"&amp;B2244&amp;"_2.mp3","AmE")</f>
        <v/>
      </c>
      <c r="I2244" s="18">
        <f>HYPERLINK("http://dict.youdao.com/w/"&amp;B2244,"有道")</f>
        <v/>
      </c>
    </row>
    <row r="2245">
      <c r="B2245" s="1" t="inlineStr">
        <is>
          <t>adequate</t>
        </is>
      </c>
      <c r="C2245" s="7">
        <f>"adj. 充足的；适当的；胜任的"</f>
        <v/>
      </c>
      <c r="G2245" s="18">
        <f>HYPERLINK("D:\python\英语学习\voices\"&amp;B2245&amp;"_1.mp3","BrE")</f>
        <v/>
      </c>
      <c r="H2245" s="18">
        <f>HYPERLINK("D:\python\英语学习\voices\"&amp;B2245&amp;"_2.mp3","AmE")</f>
        <v/>
      </c>
      <c r="I2245" s="18">
        <f>HYPERLINK("http://dict.youdao.com/w/"&amp;B2245,"有道")</f>
        <v/>
      </c>
    </row>
    <row customHeight="1" ht="28.5" r="2246">
      <c r="B2246" s="1" t="inlineStr">
        <is>
          <t>equivalent</t>
        </is>
      </c>
      <c r="C2246" s="7">
        <f>"adj. 等价的，相等的；同意义的"&amp;CHAR(10)&amp;"n. 等价物，相等物"</f>
        <v/>
      </c>
      <c r="D2246" t="inlineStr">
        <is>
          <t>拼写和equal没关系qui</t>
        </is>
      </c>
      <c r="G2246" s="18">
        <f>HYPERLINK("D:\python\英语学习\voices\"&amp;B2246&amp;"_1.mp3","BrE")</f>
        <v/>
      </c>
      <c r="H2246" s="18">
        <f>HYPERLINK("D:\python\英语学习\voices\"&amp;B2246&amp;"_2.mp3","AmE")</f>
        <v/>
      </c>
      <c r="I2246" s="18">
        <f>HYPERLINK("http://dict.youdao.com/w/"&amp;B2246,"有道")</f>
        <v/>
      </c>
    </row>
    <row customHeight="1" ht="42.75" r="2247">
      <c r="B2247" s="1" t="inlineStr">
        <is>
          <t>confer</t>
        </is>
      </c>
      <c r="C2247" s="7">
        <f>"vt. 授予；给予"&amp;CHAR(10)&amp;"vi. 协商"&amp;CHAR(10)&amp;"n. (Confer)人名；(英)康弗"</f>
        <v/>
      </c>
      <c r="D2247" s="6" t="inlineStr">
        <is>
          <t>conference</t>
        </is>
      </c>
      <c r="G2247" s="18">
        <f>HYPERLINK("D:\python\英语学习\voices\"&amp;B2247&amp;"_1.mp3","BrE")</f>
        <v/>
      </c>
      <c r="H2247" s="18">
        <f>HYPERLINK("D:\python\英语学习\voices\"&amp;B2247&amp;"_2.mp3","AmE")</f>
        <v/>
      </c>
      <c r="I2247" s="18">
        <f>HYPERLINK("http://dict.youdao.com/w/"&amp;B2247,"有道")</f>
        <v/>
      </c>
    </row>
    <row r="2248">
      <c r="B2248" s="1" t="inlineStr">
        <is>
          <t>referendum</t>
        </is>
      </c>
      <c r="C2248" s="7">
        <f>"n. 公民投票权；外交官请示书"</f>
        <v/>
      </c>
      <c r="G2248" s="18">
        <f>HYPERLINK("D:\python\英语学习\voices\"&amp;B2248&amp;"_1.mp3","BrE")</f>
        <v/>
      </c>
      <c r="H2248" s="18">
        <f>HYPERLINK("D:\python\英语学习\voices\"&amp;B2248&amp;"_2.mp3","AmE")</f>
        <v/>
      </c>
      <c r="I2248" s="18">
        <f>HYPERLINK("http://dict.youdao.com/w/"&amp;B2248,"有道")</f>
        <v/>
      </c>
    </row>
    <row r="2249">
      <c r="B2249" s="1" t="inlineStr">
        <is>
          <t>porch</t>
        </is>
      </c>
      <c r="C2249" s="7">
        <f>"n. 门廊；走廊"</f>
        <v/>
      </c>
      <c r="G2249" s="18">
        <f>HYPERLINK("D:\python\英语学习\voices\"&amp;B2249&amp;"_1.mp3","BrE")</f>
        <v/>
      </c>
      <c r="H2249" s="18">
        <f>HYPERLINK("D:\python\英语学习\voices\"&amp;B2249&amp;"_2.mp3","AmE")</f>
        <v/>
      </c>
      <c r="I2249" s="18">
        <f>HYPERLINK("http://dict.youdao.com/w/"&amp;B2249,"有道")</f>
        <v/>
      </c>
    </row>
    <row customHeight="1" ht="28.5" r="2250">
      <c r="B2250" s="1" t="inlineStr">
        <is>
          <t>porter</t>
        </is>
      </c>
      <c r="C2250" s="7">
        <f>"n. 门房；服务员；行李搬运工；守门人"&amp;CHAR(10)&amp;"n. (Porter)人名；(英、西、葡)波特；(德)波特"</f>
        <v/>
      </c>
      <c r="E2250" s="6" t="inlineStr">
        <is>
          <t>注意和港口没关系</t>
        </is>
      </c>
      <c r="G2250" s="18">
        <f>HYPERLINK("D:\python\英语学习\voices\"&amp;B2250&amp;"_1.mp3","BrE")</f>
        <v/>
      </c>
      <c r="H2250" s="18">
        <f>HYPERLINK("D:\python\英语学习\voices\"&amp;B2250&amp;"_2.mp3","AmE")</f>
        <v/>
      </c>
      <c r="I2250" s="18">
        <f>HYPERLINK("http://dict.youdao.com/w/"&amp;B2250,"有道")</f>
        <v/>
      </c>
    </row>
    <row r="2251">
      <c r="A2251" s="1" t="inlineStr">
        <is>
          <t>unnecessary</t>
        </is>
      </c>
      <c r="B2251" s="1" t="inlineStr">
        <is>
          <t>anew</t>
        </is>
      </c>
      <c r="C2251" s="7">
        <f>"adv. 重新；再"</f>
        <v/>
      </c>
      <c r="G2251" s="18">
        <f>HYPERLINK("D:\python\英语学习\voices\"&amp;B2251&amp;"_1.mp3","BrE")</f>
        <v/>
      </c>
      <c r="H2251" s="18">
        <f>HYPERLINK("D:\python\英语学习\voices\"&amp;B2251&amp;"_2.mp3","AmE")</f>
        <v/>
      </c>
      <c r="I2251" s="18">
        <f>HYPERLINK("http://dict.youdao.com/w/"&amp;B2251,"有道")</f>
        <v/>
      </c>
    </row>
    <row customHeight="1" ht="28.5" r="2252">
      <c r="A2252" s="1" t="inlineStr">
        <is>
          <t>practice</t>
        </is>
      </c>
      <c r="B2252" s="1" t="inlineStr">
        <is>
          <t>reminiscent</t>
        </is>
      </c>
      <c r="C2252" s="7">
        <f>"adj. 怀旧的，回忆往事的；耽于回想的"&amp;CHAR(10)&amp;"n. 回忆录作者；回忆者"</f>
        <v/>
      </c>
      <c r="E2252" s="7" t="inlineStr">
        <is>
          <t>注意发音-重音在ni
reminiscent of</t>
        </is>
      </c>
      <c r="G2252" s="18">
        <f>HYPERLINK("D:\python\英语学习\voices\"&amp;B2252&amp;"_1.mp3","BrE")</f>
        <v/>
      </c>
      <c r="H2252" s="18">
        <f>HYPERLINK("D:\python\英语学习\voices\"&amp;B2252&amp;"_2.mp3","AmE")</f>
        <v/>
      </c>
      <c r="I2252" s="18">
        <f>HYPERLINK("http://dict.youdao.com/w/"&amp;B2252,"有道")</f>
        <v/>
      </c>
    </row>
    <row r="2253">
      <c r="B2253" s="1" t="inlineStr">
        <is>
          <t>transcend</t>
        </is>
      </c>
      <c r="C2253" s="7">
        <f>"vt. 胜过，超越"</f>
        <v/>
      </c>
      <c r="G2253" s="18">
        <f>HYPERLINK("D:\python\英语学习\voices\"&amp;B2253&amp;"_1.mp3","BrE")</f>
        <v/>
      </c>
      <c r="H2253" s="18">
        <f>HYPERLINK("D:\python\英语学习\voices\"&amp;B2253&amp;"_2.mp3","AmE")</f>
        <v/>
      </c>
      <c r="I2253" s="18">
        <f>HYPERLINK("http://dict.youdao.com/w/"&amp;B2253,"有道")</f>
        <v/>
      </c>
    </row>
    <row customHeight="1" ht="28.5" r="2254">
      <c r="B2254" s="1" t="inlineStr">
        <is>
          <t>tenure</t>
        </is>
      </c>
      <c r="C2254" s="7">
        <f>"n. 任期；占有"&amp;CHAR(10)&amp;"vt. 授予…终身职位"</f>
        <v/>
      </c>
      <c r="G2254" s="18">
        <f>HYPERLINK("D:\python\英语学习\voices\"&amp;B2254&amp;"_1.mp3","BrE")</f>
        <v/>
      </c>
      <c r="H2254" s="18">
        <f>HYPERLINK("D:\python\英语学习\voices\"&amp;B2254&amp;"_2.mp3","AmE")</f>
        <v/>
      </c>
      <c r="I2254" s="18">
        <f>HYPERLINK("http://dict.youdao.com/w/"&amp;B2254,"有道")</f>
        <v/>
      </c>
    </row>
    <row customHeight="1" ht="28.5" r="2255">
      <c r="B2255" s="1" t="inlineStr">
        <is>
          <t>recite</t>
        </is>
      </c>
      <c r="C2255" s="7">
        <f>"vt. 背诵；叙述；列举"&amp;CHAR(10)&amp;"vi. 背诵；叙述"</f>
        <v/>
      </c>
      <c r="G2255" s="18">
        <f>HYPERLINK("D:\python\英语学习\voices\"&amp;B2255&amp;"_1.mp3","BrE")</f>
        <v/>
      </c>
      <c r="H2255" s="18">
        <f>HYPERLINK("D:\python\英语学习\voices\"&amp;B2255&amp;"_2.mp3","AmE")</f>
        <v/>
      </c>
      <c r="I2255" s="18">
        <f>HYPERLINK("http://dict.youdao.com/w/"&amp;B2255,"有道")</f>
        <v/>
      </c>
    </row>
    <row customHeight="1" ht="85.5" r="2256">
      <c r="B2256" s="1" t="inlineStr">
        <is>
          <t>second</t>
        </is>
      </c>
      <c r="C2256" s="7">
        <f>"n. 秒；第二名；瞬间；二等品"&amp;CHAR(10)&amp;"vt. 支持"&amp;CHAR(10)&amp;"adj. 第二的；次要的；附加的"&amp;CHAR(10)&amp;"num. 第二"&amp;CHAR(10)&amp;"adv. 第二；其次；居第二位"&amp;CHAR(10)&amp;"n. (Second)人名；(法)塞孔"</f>
        <v/>
      </c>
      <c r="E2256" s="6" t="inlineStr">
        <is>
          <t>好多意思-附和，赞成</t>
        </is>
      </c>
      <c r="G2256" s="18">
        <f>HYPERLINK("D:\python\英语学习\voices\"&amp;B2256&amp;"_1.mp3","BrE")</f>
        <v/>
      </c>
      <c r="H2256" s="18">
        <f>HYPERLINK("D:\python\英语学习\voices\"&amp;B2256&amp;"_2.mp3","AmE")</f>
        <v/>
      </c>
      <c r="I2256" s="18">
        <f>HYPERLINK("http://dict.youdao.com/w/"&amp;B2256,"有道")</f>
        <v/>
      </c>
    </row>
    <row customHeight="1" ht="28.5" r="2257">
      <c r="B2257" s="1" t="inlineStr">
        <is>
          <t>prosecute</t>
        </is>
      </c>
      <c r="C2257" s="7">
        <f>"vt. 检举；贯彻；从事；依法进行"&amp;CHAR(10)&amp;"vi. 起诉；告发；作检察官"</f>
        <v/>
      </c>
      <c r="G2257" s="18">
        <f>HYPERLINK("D:\python\英语学习\voices\"&amp;B2257&amp;"_1.mp3","BrE")</f>
        <v/>
      </c>
      <c r="H2257" s="18">
        <f>HYPERLINK("D:\python\英语学习\voices\"&amp;B2257&amp;"_2.mp3","AmE")</f>
        <v/>
      </c>
      <c r="I2257" s="18">
        <f>HYPERLINK("http://dict.youdao.com/w/"&amp;B2257,"有道")</f>
        <v/>
      </c>
    </row>
    <row customHeight="1" ht="57" r="2258">
      <c r="A2258" s="1" t="inlineStr">
        <is>
          <t>practice</t>
        </is>
      </c>
      <c r="B2258" s="1" t="inlineStr">
        <is>
          <t>repression</t>
        </is>
      </c>
      <c r="C2258" s="7">
        <f>"n. 抑制，[心理] 压抑；镇压"</f>
        <v/>
      </c>
      <c r="G2258" s="18">
        <f>HYPERLINK("D:\python\英语学习\voices\"&amp;B2258&amp;"_1.mp3","BrE")</f>
        <v/>
      </c>
      <c r="H2258" s="18">
        <f>HYPERLINK("D:\python\英语学习\voices\"&amp;B2258&amp;"_2.mp3","AmE")</f>
        <v/>
      </c>
      <c r="I2258" s="18">
        <f>HYPERLINK("http://dict.youdao.com/w/"&amp;B2258,"有道")</f>
        <v/>
      </c>
    </row>
    <row customHeight="1" ht="57" r="2259">
      <c r="B2259" s="1" t="inlineStr">
        <is>
          <t>prevailing</t>
        </is>
      </c>
      <c r="C2259" s="7">
        <f>"adj. 流行的；一般的，最普通的；占优势的；盛行很广的"&amp;CHAR(10)&amp;"v. 盛行，流行（prevail的现在分词形式）；获胜"</f>
        <v/>
      </c>
      <c r="G2259" s="18">
        <f>HYPERLINK("D:\python\英语学习\voices\"&amp;B2259&amp;"_1.mp3","BrE")</f>
        <v/>
      </c>
      <c r="H2259" s="18">
        <f>HYPERLINK("D:\python\英语学习\voices\"&amp;B2259&amp;"_2.mp3","AmE")</f>
        <v/>
      </c>
      <c r="I2259" s="18">
        <f>HYPERLINK("http://dict.youdao.com/w/"&amp;B2259,"有道")</f>
        <v/>
      </c>
    </row>
    <row r="2260">
      <c r="B2260" s="1" t="inlineStr">
        <is>
          <t>constraint</t>
        </is>
      </c>
      <c r="C2260" s="7">
        <f>"n. [数] 约束；局促，态度不自然；强制"</f>
        <v/>
      </c>
      <c r="G2260" s="18">
        <f>HYPERLINK("D:\python\英语学习\voices\"&amp;B2260&amp;"_1.mp3","BrE")</f>
        <v/>
      </c>
      <c r="H2260" s="18">
        <f>HYPERLINK("D:\python\英语学习\voices\"&amp;B2260&amp;"_2.mp3","AmE")</f>
        <v/>
      </c>
      <c r="I2260" s="18">
        <f>HYPERLINK("http://dict.youdao.com/w/"&amp;B2260,"有道")</f>
        <v/>
      </c>
    </row>
    <row customHeight="1" ht="28.5" r="2261">
      <c r="A2261" s="1" t="inlineStr">
        <is>
          <t>practice</t>
        </is>
      </c>
      <c r="B2261" s="1" t="inlineStr">
        <is>
          <t>reproach</t>
        </is>
      </c>
      <c r="C2261" s="7">
        <f>"n. 责备；耻辱"&amp;CHAR(10)&amp;"vt. 责备；申斥"</f>
        <v/>
      </c>
      <c r="G2261" s="18">
        <f>HYPERLINK("D:\python\英语学习\voices\"&amp;B2261&amp;"_1.mp3","BrE")</f>
        <v/>
      </c>
      <c r="H2261" s="18">
        <f>HYPERLINK("D:\python\英语学习\voices\"&amp;B2261&amp;"_2.mp3","AmE")</f>
        <v/>
      </c>
      <c r="I2261" s="18">
        <f>HYPERLINK("http://dict.youdao.com/w/"&amp;B2261,"有道")</f>
        <v/>
      </c>
    </row>
    <row r="2262">
      <c r="B2262" s="1" t="inlineStr">
        <is>
          <t>vindictive</t>
        </is>
      </c>
      <c r="C2262" s="7">
        <f>"adj. 怀恨的；有报仇心的；惩罚的"</f>
        <v/>
      </c>
      <c r="G2262" s="18">
        <f>HYPERLINK("D:\python\英语学习\voices\"&amp;B2262&amp;"_1.mp3","BrE")</f>
        <v/>
      </c>
      <c r="H2262" s="18">
        <f>HYPERLINK("D:\python\英语学习\voices\"&amp;B2262&amp;"_2.mp3","AmE")</f>
        <v/>
      </c>
      <c r="I2262" s="18">
        <f>HYPERLINK("http://dict.youdao.com/w/"&amp;B2262,"有道")</f>
        <v/>
      </c>
    </row>
    <row r="2263">
      <c r="B2263" s="1" t="inlineStr">
        <is>
          <t>graceful</t>
        </is>
      </c>
      <c r="C2263" s="7">
        <f>"adj. 优雅的；优美的"</f>
        <v/>
      </c>
      <c r="G2263" s="18">
        <f>HYPERLINK("D:\python\英语学习\voices\"&amp;B2263&amp;"_1.mp3","BrE")</f>
        <v/>
      </c>
      <c r="H2263" s="18">
        <f>HYPERLINK("D:\python\英语学习\voices\"&amp;B2263&amp;"_2.mp3","AmE")</f>
        <v/>
      </c>
      <c r="I2263" s="18">
        <f>HYPERLINK("http://dict.youdao.com/w/"&amp;B2263,"有道")</f>
        <v/>
      </c>
    </row>
    <row customHeight="1" ht="28.5" r="2264">
      <c r="B2264" s="1" t="inlineStr">
        <is>
          <t>reflect</t>
        </is>
      </c>
      <c r="C2264" s="7">
        <f>"vt. 反映；反射，照出；表达；显示;反省"&amp;CHAR(10)&amp;"vi. 反射，映现；深思"</f>
        <v/>
      </c>
      <c r="E2264" s="6" t="inlineStr">
        <is>
          <t>好多意思-沉思</t>
        </is>
      </c>
      <c r="G2264" s="18">
        <f>HYPERLINK("D:\python\英语学习\voices\"&amp;B2264&amp;"_1.mp3","BrE")</f>
        <v/>
      </c>
      <c r="H2264" s="18">
        <f>HYPERLINK("D:\python\英语学习\voices\"&amp;B2264&amp;"_2.mp3","AmE")</f>
        <v/>
      </c>
      <c r="I2264" s="18">
        <f>HYPERLINK("http://dict.youdao.com/w/"&amp;B2264,"有道")</f>
        <v/>
      </c>
    </row>
    <row r="2265">
      <c r="B2265" s="1" t="inlineStr">
        <is>
          <t>reflective</t>
        </is>
      </c>
      <c r="C2265" s="7">
        <f>"adj. 反射的；反映的；沉思的"</f>
        <v/>
      </c>
      <c r="G2265" s="18">
        <f>HYPERLINK("D:\python\英语学习\voices\"&amp;B2265&amp;"_1.mp3","BrE")</f>
        <v/>
      </c>
      <c r="H2265" s="18">
        <f>HYPERLINK("D:\python\英语学习\voices\"&amp;B2265&amp;"_2.mp3","AmE")</f>
        <v/>
      </c>
      <c r="I2265" s="18">
        <f>HYPERLINK("http://dict.youdao.com/w/"&amp;B2265,"有道")</f>
        <v/>
      </c>
    </row>
    <row customHeight="1" ht="71.25" r="2266">
      <c r="B2266" s="1" t="inlineStr">
        <is>
          <t>heap</t>
        </is>
      </c>
      <c r="C2266" s="7">
        <f>"n. 堆；许多；累积"&amp;CHAR(10)&amp;"vt. 堆；堆积"&amp;CHAR(10)&amp;"vi. 堆起来"&amp;CHAR(10)&amp;"n. (Heap)人名；(芬)海亚普；(东南亚国家华语)协；(英)希普"</f>
        <v/>
      </c>
      <c r="G2266" s="18">
        <f>HYPERLINK("D:\python\英语学习\voices\"&amp;B2266&amp;"_1.mp3","BrE")</f>
        <v/>
      </c>
      <c r="H2266" s="18">
        <f>HYPERLINK("D:\python\英语学习\voices\"&amp;B2266&amp;"_2.mp3","AmE")</f>
        <v/>
      </c>
      <c r="I2266" s="18">
        <f>HYPERLINK("http://dict.youdao.com/w/"&amp;B2266,"有道")</f>
        <v/>
      </c>
    </row>
    <row r="2267">
      <c r="B2267" s="1" t="inlineStr">
        <is>
          <t>certify</t>
        </is>
      </c>
      <c r="C2267" s="7">
        <f>"v. 证明；保证"</f>
        <v/>
      </c>
      <c r="G2267" s="18">
        <f>HYPERLINK("D:\python\英语学习\voices\"&amp;B2267&amp;"_1.mp3","BrE")</f>
        <v/>
      </c>
      <c r="H2267" s="18">
        <f>HYPERLINK("D:\python\英语学习\voices\"&amp;B2267&amp;"_2.mp3","AmE")</f>
        <v/>
      </c>
      <c r="I2267" s="18">
        <f>HYPERLINK("http://dict.youdao.com/w/"&amp;B2267,"有道")</f>
        <v/>
      </c>
    </row>
    <row customHeight="1" ht="42.75" r="2268">
      <c r="B2268" s="1" t="inlineStr">
        <is>
          <t>affiliate</t>
        </is>
      </c>
      <c r="C2268" s="7">
        <f>"n. 联号；隶属的机构等"&amp;CHAR(10)&amp;"vt. 使附属；接纳；使紧密联系"&amp;CHAR(10)&amp;"vi. 参加，加入；发生联系"</f>
        <v/>
      </c>
      <c r="G2268" s="18">
        <f>HYPERLINK("D:\python\英语学习\voices\"&amp;B2268&amp;"_1.mp3","BrE")</f>
        <v/>
      </c>
      <c r="H2268" s="18">
        <f>HYPERLINK("D:\python\英语学习\voices\"&amp;B2268&amp;"_2.mp3","AmE")</f>
        <v/>
      </c>
      <c r="I2268" s="18">
        <f>HYPERLINK("http://dict.youdao.com/w/"&amp;B2268,"有道")</f>
        <v/>
      </c>
    </row>
    <row r="2269">
      <c r="B2269" s="1" t="inlineStr">
        <is>
          <t>utilize</t>
        </is>
      </c>
      <c r="C2269" s="7">
        <f>"vt. 利用"</f>
        <v/>
      </c>
      <c r="G2269" s="18">
        <f>HYPERLINK("D:\python\英语学习\voices\"&amp;B2269&amp;"_1.mp3","BrE")</f>
        <v/>
      </c>
      <c r="H2269" s="18">
        <f>HYPERLINK("D:\python\英语学习\voices\"&amp;B2269&amp;"_2.mp3","AmE")</f>
        <v/>
      </c>
      <c r="I2269" s="18">
        <f>HYPERLINK("http://dict.youdao.com/w/"&amp;B2269,"有道")</f>
        <v/>
      </c>
    </row>
    <row customHeight="1" ht="71.25" r="2270">
      <c r="B2270" s="1" t="inlineStr">
        <is>
          <t>sip</t>
        </is>
      </c>
      <c r="C2270" s="7">
        <f>"n. 抿；小口喝；单列直插式组件"&amp;CHAR(10)&amp;"vi. 啜饮"&amp;CHAR(10)&amp;"vt. 啜"&amp;CHAR(10)&amp;"n. (Sip)人名；(捷)西普；(朝)十；(东南亚国家华语)集"</f>
        <v/>
      </c>
      <c r="G2270" s="18">
        <f>HYPERLINK("D:\python\英语学习\voices\"&amp;B2270&amp;"_1.mp3","BrE")</f>
        <v/>
      </c>
      <c r="H2270" s="18">
        <f>HYPERLINK("D:\python\英语学习\voices\"&amp;B2270&amp;"_2.mp3","AmE")</f>
        <v/>
      </c>
      <c r="I2270" s="18">
        <f>HYPERLINK("http://dict.youdao.com/w/"&amp;B2270,"有道")</f>
        <v/>
      </c>
    </row>
    <row r="2271">
      <c r="B2271" s="1" t="inlineStr">
        <is>
          <t>gratify</t>
        </is>
      </c>
      <c r="C2271" s="7">
        <f>"vt. 使满足；使满意，使高兴"</f>
        <v/>
      </c>
      <c r="G2271" s="18">
        <f>HYPERLINK("D:\python\英语学习\voices\"&amp;B2271&amp;"_1.mp3","BrE")</f>
        <v/>
      </c>
      <c r="H2271" s="18">
        <f>HYPERLINK("D:\python\英语学习\voices\"&amp;B2271&amp;"_2.mp3","AmE")</f>
        <v/>
      </c>
      <c r="I2271" s="18">
        <f>HYPERLINK("http://dict.youdao.com/w/"&amp;B2271,"有道")</f>
        <v/>
      </c>
    </row>
    <row r="2272">
      <c r="B2272" s="1" t="inlineStr">
        <is>
          <t>clinical</t>
        </is>
      </c>
      <c r="C2272" s="7">
        <f>"adj. 临床的；诊所的"</f>
        <v/>
      </c>
      <c r="G2272" s="18">
        <f>HYPERLINK("D:\python\英语学习\voices\"&amp;B2272&amp;"_1.mp3","BrE")</f>
        <v/>
      </c>
      <c r="H2272" s="18">
        <f>HYPERLINK("D:\python\英语学习\voices\"&amp;B2272&amp;"_2.mp3","AmE")</f>
        <v/>
      </c>
      <c r="I2272" s="18">
        <f>HYPERLINK("http://dict.youdao.com/w/"&amp;B2272,"有道")</f>
        <v/>
      </c>
    </row>
    <row customHeight="1" ht="71.25" r="2273">
      <c r="B2273" s="1" t="inlineStr">
        <is>
          <t>regard</t>
        </is>
      </c>
      <c r="C2273" s="7">
        <f>"n. 注意；尊重；问候；凝视"&amp;CHAR(10)&amp;"vt. 注重，考虑；看待；尊敬；把…看作；与…有关"&amp;CHAR(10)&amp;"vi. 注意，注重；注视"&amp;CHAR(10)&amp;"n. (Regard)人名；(西、意)雷加德；(法)勒加尔"</f>
        <v/>
      </c>
      <c r="E2273" s="6" t="inlineStr">
        <is>
          <t>好多意思</t>
        </is>
      </c>
      <c r="G2273" s="18">
        <f>HYPERLINK("D:\python\英语学习\voices\"&amp;B2273&amp;"_1.mp3","BrE")</f>
        <v/>
      </c>
      <c r="H2273" s="18">
        <f>HYPERLINK("D:\python\英语学习\voices\"&amp;B2273&amp;"_2.mp3","AmE")</f>
        <v/>
      </c>
      <c r="I2273" s="18">
        <f>HYPERLINK("http://dict.youdao.com/w/"&amp;B2273,"有道")</f>
        <v/>
      </c>
    </row>
    <row r="2274">
      <c r="B2274" s="1" t="inlineStr">
        <is>
          <t>extensive</t>
        </is>
      </c>
      <c r="C2274" s="7">
        <f>"adj. 广泛的；大量的；广阔的"</f>
        <v/>
      </c>
      <c r="E2274" s="16" t="inlineStr">
        <is>
          <t>aspire to 渴求
extensive reading泛读
intensive reading精读</t>
        </is>
      </c>
      <c r="G2274" s="18">
        <f>HYPERLINK("D:\python\英语学习\voices\"&amp;B2274&amp;"_1.mp3","BrE")</f>
        <v/>
      </c>
      <c r="H2274" s="18">
        <f>HYPERLINK("D:\python\英语学习\voices\"&amp;B2274&amp;"_2.mp3","AmE")</f>
        <v/>
      </c>
      <c r="I2274" s="18">
        <f>HYPERLINK("http://dict.youdao.com/w/"&amp;B2274,"有道")</f>
        <v/>
      </c>
    </row>
    <row r="2275">
      <c r="B2275" s="1" t="inlineStr">
        <is>
          <t>haircut</t>
        </is>
      </c>
      <c r="C2275" s="7">
        <f>"n. 理发；发型"</f>
        <v/>
      </c>
      <c r="G2275" s="18">
        <f>HYPERLINK("D:\python\英语学习\voices\"&amp;B2275&amp;"_1.mp3","BrE")</f>
        <v/>
      </c>
      <c r="H2275" s="18">
        <f>HYPERLINK("D:\python\英语学习\voices\"&amp;B2275&amp;"_2.mp3","AmE")</f>
        <v/>
      </c>
      <c r="I2275" s="18">
        <f>HYPERLINK("http://dict.youdao.com/w/"&amp;B2275,"有道")</f>
        <v/>
      </c>
    </row>
    <row customHeight="1" ht="42.75" r="2276">
      <c r="A2276" t="inlineStr">
        <is>
          <t>practice</t>
        </is>
      </c>
      <c r="B2276" s="1" t="inlineStr">
        <is>
          <t>retort</t>
        </is>
      </c>
      <c r="C2276" s="7">
        <f>"n. 反驳，顶嘴；曲颈瓶"&amp;CHAR(10)&amp;"vt. 反驳，反击"&amp;CHAR(10)&amp;"vi. 反驳，回嘴"</f>
        <v/>
      </c>
      <c r="G2276" s="18">
        <f>HYPERLINK("D:\python\英语学习\voices\"&amp;B2276&amp;"_1.mp3","BrE")</f>
        <v/>
      </c>
      <c r="H2276" s="18">
        <f>HYPERLINK("D:\python\英语学习\voices\"&amp;B2276&amp;"_2.mp3","AmE")</f>
        <v/>
      </c>
      <c r="I2276" s="18">
        <f>HYPERLINK("http://dict.youdao.com/w/"&amp;B2276,"有道")</f>
        <v/>
      </c>
    </row>
    <row r="2277">
      <c r="B2277" s="1" t="inlineStr">
        <is>
          <t>alienate</t>
        </is>
      </c>
      <c r="C2277" s="7">
        <f>"vt. 使疏远，离间；让与"</f>
        <v/>
      </c>
      <c r="D2277" s="6" t="inlineStr">
        <is>
          <t>alien-看做外星人-疏远</t>
        </is>
      </c>
      <c r="G2277" s="18">
        <f>HYPERLINK("D:\python\英语学习\voices\"&amp;B2277&amp;"_1.mp3","BrE")</f>
        <v/>
      </c>
      <c r="H2277" s="18">
        <f>HYPERLINK("D:\python\英语学习\voices\"&amp;B2277&amp;"_2.mp3","AmE")</f>
        <v/>
      </c>
      <c r="I2277" s="18">
        <f>HYPERLINK("http://dict.youdao.com/w/"&amp;B2277,"有道")</f>
        <v/>
      </c>
    </row>
    <row customHeight="1" ht="42.75" r="2278">
      <c r="B2278" s="1" t="inlineStr">
        <is>
          <t>kindred</t>
        </is>
      </c>
      <c r="C2278" s="7">
        <f>"adj. 同类的；血缘的；同族的"&amp;CHAR(10)&amp;"n. 家族；相似；亲属关系"&amp;CHAR(10)&amp;"n. (Kindred)人名；(英)金德里德"</f>
        <v/>
      </c>
      <c r="D2278" s="6" t="inlineStr">
        <is>
          <t>kin</t>
        </is>
      </c>
      <c r="G2278" s="18">
        <f>HYPERLINK("D:\python\英语学习\voices\"&amp;B2278&amp;"_1.mp3","BrE")</f>
        <v/>
      </c>
      <c r="H2278" s="18">
        <f>HYPERLINK("D:\python\英语学习\voices\"&amp;B2278&amp;"_2.mp3","AmE")</f>
        <v/>
      </c>
      <c r="I2278" s="18">
        <f>HYPERLINK("http://dict.youdao.com/w/"&amp;B2278,"有道")</f>
        <v/>
      </c>
    </row>
    <row r="2279">
      <c r="B2279" s="1" t="inlineStr">
        <is>
          <t>compulsion</t>
        </is>
      </c>
      <c r="C2279" s="7">
        <f>"n. 强制；强迫；强制力"</f>
        <v/>
      </c>
      <c r="E2279" s="6" t="inlineStr">
        <is>
          <t>强迫，有冲动的意思</t>
        </is>
      </c>
      <c r="G2279" s="18">
        <f>HYPERLINK("D:\python\英语学习\voices\"&amp;B2279&amp;"_1.mp3","BrE")</f>
        <v/>
      </c>
      <c r="H2279" s="18">
        <f>HYPERLINK("D:\python\英语学习\voices\"&amp;B2279&amp;"_2.mp3","AmE")</f>
        <v/>
      </c>
      <c r="I2279" s="18">
        <f>HYPERLINK("http://dict.youdao.com/w/"&amp;B2279,"有道")</f>
        <v/>
      </c>
    </row>
    <row customHeight="1" ht="28.5" r="2280">
      <c r="A2280" s="1" t="inlineStr">
        <is>
          <t>practice</t>
        </is>
      </c>
      <c r="B2280" s="1" t="inlineStr">
        <is>
          <t>revenue</t>
        </is>
      </c>
      <c r="C2280" s="7">
        <f>"n. 税收收入；财政收入；收益"</f>
        <v/>
      </c>
      <c r="G2280" s="18">
        <f>HYPERLINK("D:\python\英语学习\voices\"&amp;B2280&amp;"_1.mp3","BrE")</f>
        <v/>
      </c>
      <c r="H2280" s="18">
        <f>HYPERLINK("D:\python\英语学习\voices\"&amp;B2280&amp;"_2.mp3","AmE")</f>
        <v/>
      </c>
      <c r="I2280" s="18">
        <f>HYPERLINK("http://dict.youdao.com/w/"&amp;B2280,"有道")</f>
        <v/>
      </c>
    </row>
    <row r="2281">
      <c r="B2281" s="1" t="inlineStr">
        <is>
          <t>practitioner</t>
        </is>
      </c>
      <c r="C2281" s="7">
        <f>"n. 开业者，从业者，执业医生"</f>
        <v/>
      </c>
      <c r="G2281" s="18">
        <f>HYPERLINK("D:\python\英语学习\voices\"&amp;B2281&amp;"_1.mp3","BrE")</f>
        <v/>
      </c>
      <c r="H2281" s="18">
        <f>HYPERLINK("D:\python\英语学习\voices\"&amp;B2281&amp;"_2.mp3","AmE")</f>
        <v/>
      </c>
      <c r="I2281" s="18">
        <f>HYPERLINK("http://dict.youdao.com/w/"&amp;B2281,"有道")</f>
        <v/>
      </c>
    </row>
    <row r="2282">
      <c r="B2282" s="1" t="inlineStr">
        <is>
          <t>repulsion</t>
        </is>
      </c>
      <c r="C2282" s="7">
        <f>"n. 排斥；反驳；反感；厌恶"</f>
        <v/>
      </c>
      <c r="G2282" s="18">
        <f>HYPERLINK("D:\python\英语学习\voices\"&amp;B2282&amp;"_1.mp3","BrE")</f>
        <v/>
      </c>
      <c r="H2282" s="18">
        <f>HYPERLINK("D:\python\英语学习\voices\"&amp;B2282&amp;"_2.mp3","AmE")</f>
        <v/>
      </c>
      <c r="I2282" s="18">
        <f>HYPERLINK("http://dict.youdao.com/w/"&amp;B2282,"有道")</f>
        <v/>
      </c>
    </row>
    <row customHeight="1" ht="71.25" r="2283">
      <c r="B2283" s="1" t="inlineStr">
        <is>
          <t>gut</t>
        </is>
      </c>
      <c r="C2283" s="7">
        <f>"n. 内脏；肠子；剧情；胆量；海峡；勇气；直觉；肠"&amp;CHAR(10)&amp;"vt. 取出内脏；摧毁（建筑物等）的内部"&amp;CHAR(10)&amp;"adj. 简单的；本质的，根本的；本能的，直觉的"</f>
        <v/>
      </c>
      <c r="G2283" s="18">
        <f>HYPERLINK("D:\python\英语学习\voices\"&amp;B2283&amp;"_1.mp3","BrE")</f>
        <v/>
      </c>
      <c r="H2283" s="18">
        <f>HYPERLINK("D:\python\英语学习\voices\"&amp;B2283&amp;"_2.mp3","AmE")</f>
        <v/>
      </c>
      <c r="I2283" s="18">
        <f>HYPERLINK("http://dict.youdao.com/w/"&amp;B2283,"有道")</f>
        <v/>
      </c>
    </row>
    <row customHeight="1" ht="28.5" r="2284">
      <c r="B2284" s="1" t="inlineStr">
        <is>
          <t>nickle</t>
        </is>
      </c>
      <c r="C2284" s="7">
        <f>"n. 镍（等于nickel）；五分镍币（美国和加拿大使用的）"</f>
        <v/>
      </c>
      <c r="G2284" s="18">
        <f>HYPERLINK("D:\python\英语学习\voices\"&amp;B2284&amp;"_1.mp3","BrE")</f>
        <v/>
      </c>
      <c r="H2284" s="18">
        <f>HYPERLINK("D:\python\英语学习\voices\"&amp;B2284&amp;"_2.mp3","AmE")</f>
        <v/>
      </c>
      <c r="I2284" s="18">
        <f>HYPERLINK("http://dict.youdao.com/w/"&amp;B2284,"有道")</f>
        <v/>
      </c>
    </row>
    <row r="2285">
      <c r="B2285" s="1" t="inlineStr">
        <is>
          <t>prosperous</t>
        </is>
      </c>
      <c r="C2285" s="7">
        <f>"adj. 繁荣的；兴旺的"</f>
        <v/>
      </c>
      <c r="G2285" s="18">
        <f>HYPERLINK("D:\python\英语学习\voices\"&amp;B2285&amp;"_1.mp3","BrE")</f>
        <v/>
      </c>
      <c r="H2285" s="18">
        <f>HYPERLINK("D:\python\英语学习\voices\"&amp;B2285&amp;"_2.mp3","AmE")</f>
        <v/>
      </c>
      <c r="I2285" s="18">
        <f>HYPERLINK("http://dict.youdao.com/w/"&amp;B2285,"有道")</f>
        <v/>
      </c>
    </row>
    <row customHeight="1" ht="42.75" r="2286">
      <c r="B2286" s="1" t="inlineStr">
        <is>
          <t>syndrome</t>
        </is>
      </c>
      <c r="C2286" s="7">
        <f>"n. [临床] 综合症状；并发症状；校验子；并发位"&amp;CHAR(10)&amp;"n. (Syndrome)人名；(英)辛德罗姆"</f>
        <v/>
      </c>
      <c r="G2286" s="18">
        <f>HYPERLINK("D:\python\英语学习\voices\"&amp;B2286&amp;"_1.mp3","BrE")</f>
        <v/>
      </c>
      <c r="H2286" s="18">
        <f>HYPERLINK("D:\python\英语学习\voices\"&amp;B2286&amp;"_2.mp3","AmE")</f>
        <v/>
      </c>
      <c r="I2286" s="18">
        <f>HYPERLINK("http://dict.youdao.com/w/"&amp;B2286,"有道")</f>
        <v/>
      </c>
    </row>
    <row customHeight="1" ht="42.75" r="2287">
      <c r="B2287" s="1" t="inlineStr">
        <is>
          <t>allot</t>
        </is>
      </c>
      <c r="C2287" s="7">
        <f>"vt. 分配；拨给；分派"&amp;CHAR(10)&amp;"n. (Allot)人名；(英)阿洛特；(西)阿略特；(法)阿洛"</f>
        <v/>
      </c>
      <c r="G2287" s="18">
        <f>HYPERLINK("D:\python\英语学习\voices\"&amp;B2287&amp;"_1.mp3","BrE")</f>
        <v/>
      </c>
      <c r="H2287" s="18">
        <f>HYPERLINK("D:\python\英语学习\voices\"&amp;B2287&amp;"_2.mp3","AmE")</f>
        <v/>
      </c>
      <c r="I2287" s="18">
        <f>HYPERLINK("http://dict.youdao.com/w/"&amp;B2287,"有道")</f>
        <v/>
      </c>
    </row>
    <row r="2288">
      <c r="B2288" s="1" t="inlineStr">
        <is>
          <t>casualty</t>
        </is>
      </c>
      <c r="C2288" s="7">
        <f>"n. 意外事故；伤亡人员；急诊室"</f>
        <v/>
      </c>
      <c r="G2288" s="18">
        <f>HYPERLINK("D:\python\英语学习\voices\"&amp;B2288&amp;"_1.mp3","BrE")</f>
        <v/>
      </c>
      <c r="H2288" s="18">
        <f>HYPERLINK("D:\python\英语学习\voices\"&amp;B2288&amp;"_2.mp3","AmE")</f>
        <v/>
      </c>
      <c r="I2288" s="18">
        <f>HYPERLINK("http://dict.youdao.com/w/"&amp;B2288,"有道")</f>
        <v/>
      </c>
    </row>
    <row r="2289">
      <c r="B2289" s="1" t="inlineStr">
        <is>
          <t>confusion</t>
        </is>
      </c>
      <c r="C2289" s="7">
        <f>"n. 混淆，混乱；困惑"</f>
        <v/>
      </c>
      <c r="G2289" s="18">
        <f>HYPERLINK("D:\python\英语学习\voices\"&amp;B2289&amp;"_1.mp3","BrE")</f>
        <v/>
      </c>
      <c r="H2289" s="18">
        <f>HYPERLINK("D:\python\英语学习\voices\"&amp;B2289&amp;"_2.mp3","AmE")</f>
        <v/>
      </c>
      <c r="I2289" s="18">
        <f>HYPERLINK("http://dict.youdao.com/w/"&amp;B2289,"有道")</f>
        <v/>
      </c>
    </row>
    <row customHeight="1" ht="42.75" r="2290">
      <c r="B2290" s="1" t="inlineStr">
        <is>
          <t>mighty</t>
        </is>
      </c>
      <c r="C2290" s="7">
        <f>"adj. 有力的；强有力的；有势力的"&amp;CHAR(10)&amp;"adv. 很；极；非常"&amp;CHAR(10)&amp;"n. 有势力的人"</f>
        <v/>
      </c>
      <c r="G2290" s="18">
        <f>HYPERLINK("D:\python\英语学习\voices\"&amp;B2290&amp;"_1.mp3","BrE")</f>
        <v/>
      </c>
      <c r="H2290" s="18">
        <f>HYPERLINK("D:\python\英语学习\voices\"&amp;B2290&amp;"_2.mp3","AmE")</f>
        <v/>
      </c>
      <c r="I2290" s="18">
        <f>HYPERLINK("http://dict.youdao.com/w/"&amp;B2290,"有道")</f>
        <v/>
      </c>
    </row>
    <row customHeight="1" ht="28.5" r="2291">
      <c r="B2291" s="1" t="inlineStr">
        <is>
          <t>principle</t>
        </is>
      </c>
      <c r="C2291" s="7">
        <f>"n. 原理，原则；主义，道义；本质，本义；根源，源泉"</f>
        <v/>
      </c>
      <c r="G2291" s="18">
        <f>HYPERLINK("D:\python\英语学习\voices\"&amp;B2291&amp;"_1.mp3","BrE")</f>
        <v/>
      </c>
      <c r="H2291" s="18">
        <f>HYPERLINK("D:\python\英语学习\voices\"&amp;B2291&amp;"_2.mp3","AmE")</f>
        <v/>
      </c>
      <c r="I2291" s="18">
        <f>HYPERLINK("http://dict.youdao.com/w/"&amp;B2291,"有道")</f>
        <v/>
      </c>
    </row>
    <row customHeight="1" ht="28.5" r="2292">
      <c r="A2292" t="inlineStr">
        <is>
          <t>practice</t>
        </is>
      </c>
      <c r="B2292" s="1" t="inlineStr">
        <is>
          <t>rigorous</t>
        </is>
      </c>
      <c r="C2292" s="7">
        <f>"adj. 严格的，严厉的；严密的；严酷的"</f>
        <v/>
      </c>
      <c r="G2292" s="18">
        <f>HYPERLINK("D:\python\英语学习\voices\"&amp;B2292&amp;"_1.mp3","BrE")</f>
        <v/>
      </c>
      <c r="H2292" s="18">
        <f>HYPERLINK("D:\python\英语学习\voices\"&amp;B2292&amp;"_2.mp3","AmE")</f>
        <v/>
      </c>
      <c r="I2292" s="18">
        <f>HYPERLINK("http://dict.youdao.com/w/"&amp;B2292,"有道")</f>
        <v/>
      </c>
    </row>
    <row customHeight="1" ht="57" r="2293">
      <c r="B2293" s="1" t="inlineStr">
        <is>
          <t>state</t>
        </is>
      </c>
      <c r="C2293" s="7">
        <f>"n. 国家；州；情形"&amp;CHAR(10)&amp;"vt. 规定；声明；陈述"&amp;CHAR(10)&amp;"adj. 国家的；州的；正式的"&amp;CHAR(10)&amp;"n. (State)人名；(罗、瑞典)斯塔特；(英)斯泰特"</f>
        <v/>
      </c>
      <c r="G2293" s="18">
        <f>HYPERLINK("D:\python\英语学习\voices\"&amp;B2293&amp;"_1.mp3","BrE")</f>
        <v/>
      </c>
      <c r="H2293" s="18">
        <f>HYPERLINK("D:\python\英语学习\voices\"&amp;B2293&amp;"_2.mp3","AmE")</f>
        <v/>
      </c>
      <c r="I2293" s="18">
        <f>HYPERLINK("http://dict.youdao.com/w/"&amp;B2293,"有道")</f>
        <v/>
      </c>
    </row>
    <row r="2294">
      <c r="B2294" s="1" t="inlineStr">
        <is>
          <t>devastate</t>
        </is>
      </c>
      <c r="C2294" s="7">
        <f>"vt. 毁灭；毁坏"</f>
        <v/>
      </c>
      <c r="G2294" s="18">
        <f>HYPERLINK("D:\python\英语学习\voices\"&amp;B2294&amp;"_1.mp3","BrE")</f>
        <v/>
      </c>
      <c r="H2294" s="18">
        <f>HYPERLINK("D:\python\英语学习\voices\"&amp;B2294&amp;"_2.mp3","AmE")</f>
        <v/>
      </c>
      <c r="I2294" s="18">
        <f>HYPERLINK("http://dict.youdao.com/w/"&amp;B2294,"有道")</f>
        <v/>
      </c>
    </row>
    <row customHeight="1" ht="28.5" r="2295">
      <c r="B2295" s="1" t="inlineStr">
        <is>
          <t>devastating</t>
        </is>
      </c>
      <c r="C2295" s="7">
        <f>"adj. 毁灭性的；全然的"&amp;CHAR(10)&amp;"v. 摧毁（devastate的ing形式）；毁坏"</f>
        <v/>
      </c>
      <c r="G2295" s="18">
        <f>HYPERLINK("D:\python\英语学习\voices\"&amp;B2295&amp;"_1.mp3","BrE")</f>
        <v/>
      </c>
      <c r="H2295" s="18">
        <f>HYPERLINK("D:\python\英语学习\voices\"&amp;B2295&amp;"_2.mp3","AmE")</f>
        <v/>
      </c>
      <c r="I2295" s="18">
        <f>HYPERLINK("http://dict.youdao.com/w/"&amp;B2295,"有道")</f>
        <v/>
      </c>
    </row>
    <row customHeight="1" ht="57" r="2296">
      <c r="B2296" s="1" t="inlineStr">
        <is>
          <t>steep</t>
        </is>
      </c>
      <c r="C2296" s="7">
        <f>"adj. 陡峭的；不合理的；夸大的；急剧升降的"&amp;CHAR(10)&amp;"vt. 泡；浸；使…充满"&amp;CHAR(10)&amp;"vi. 泡；沉浸"&amp;CHAR(10)&amp;"n. 峭壁；浸渍"</f>
        <v/>
      </c>
      <c r="G2296" s="18">
        <f>HYPERLINK("D:\python\英语学习\voices\"&amp;B2296&amp;"_1.mp3","BrE")</f>
        <v/>
      </c>
      <c r="H2296" s="18">
        <f>HYPERLINK("D:\python\英语学习\voices\"&amp;B2296&amp;"_2.mp3","AmE")</f>
        <v/>
      </c>
      <c r="I2296" s="18">
        <f>HYPERLINK("http://dict.youdao.com/w/"&amp;B2296,"有道")</f>
        <v/>
      </c>
    </row>
    <row customHeight="1" ht="42.75" r="2297">
      <c r="B2297" s="1" t="inlineStr">
        <is>
          <t>unwelcome</t>
        </is>
      </c>
      <c r="C2297" s="7">
        <f>"adj. 不受欢迎的；讨厌的；不被接受的"&amp;CHAR(10)&amp;"vt. 冷淡地对待"&amp;CHAR(10)&amp;"n. 冷淡"</f>
        <v/>
      </c>
      <c r="G2297" s="18">
        <f>HYPERLINK("D:\python\英语学习\voices\"&amp;B2297&amp;"_1.mp3","BrE")</f>
        <v/>
      </c>
      <c r="H2297" s="18">
        <f>HYPERLINK("D:\python\英语学习\voices\"&amp;B2297&amp;"_2.mp3","AmE")</f>
        <v/>
      </c>
      <c r="I2297" s="18">
        <f>HYPERLINK("http://dict.youdao.com/w/"&amp;B2297,"有道")</f>
        <v/>
      </c>
    </row>
    <row customHeight="1" ht="28.5" r="2298">
      <c r="B2298" s="1" t="inlineStr">
        <is>
          <t>embark</t>
        </is>
      </c>
      <c r="C2298" s="7">
        <f>"vi. 从事，着手；上船或飞机"&amp;CHAR(10)&amp;"vt. 使从事；使上船"</f>
        <v/>
      </c>
      <c r="E2298" t="inlineStr">
        <is>
          <t>embark a new journey</t>
        </is>
      </c>
      <c r="G2298" s="18">
        <f>HYPERLINK("D:\python\英语学习\voices\"&amp;B2298&amp;"_1.mp3","BrE")</f>
        <v/>
      </c>
      <c r="H2298" s="18">
        <f>HYPERLINK("D:\python\英语学习\voices\"&amp;B2298&amp;"_2.mp3","AmE")</f>
        <v/>
      </c>
      <c r="I2298" s="18">
        <f>HYPERLINK("http://dict.youdao.com/w/"&amp;B2298,"有道")</f>
        <v/>
      </c>
    </row>
    <row customHeight="1" ht="42.75" r="2299">
      <c r="A2299" s="1" t="inlineStr">
        <is>
          <t>practice</t>
        </is>
      </c>
      <c r="B2299" s="1" t="inlineStr">
        <is>
          <t>robust</t>
        </is>
      </c>
      <c r="C2299" s="7">
        <f>"adj. 强健的；健康的；粗野的；粗鲁的"</f>
        <v/>
      </c>
      <c r="G2299" s="18">
        <f>HYPERLINK("D:\python\英语学习\voices\"&amp;B2299&amp;"_1.mp3","BrE")</f>
        <v/>
      </c>
      <c r="H2299" s="18">
        <f>HYPERLINK("D:\python\英语学习\voices\"&amp;B2299&amp;"_2.mp3","AmE")</f>
        <v/>
      </c>
      <c r="I2299" s="18">
        <f>HYPERLINK("http://dict.youdao.com/w/"&amp;B2299,"有道")</f>
        <v/>
      </c>
    </row>
    <row r="2300">
      <c r="B2300" s="1" t="inlineStr">
        <is>
          <t>etiquette</t>
        </is>
      </c>
      <c r="C2300" s="7">
        <f>"n. 礼节，礼仪；规矩"</f>
        <v/>
      </c>
      <c r="G2300" s="18">
        <f>HYPERLINK("D:\python\英语学习\voices\"&amp;B2300&amp;"_1.mp3","BrE")</f>
        <v/>
      </c>
      <c r="H2300" s="18">
        <f>HYPERLINK("D:\python\英语学习\voices\"&amp;B2300&amp;"_2.mp3","AmE")</f>
        <v/>
      </c>
      <c r="I2300" s="18">
        <f>HYPERLINK("http://dict.youdao.com/w/"&amp;B2300,"有道")</f>
        <v/>
      </c>
    </row>
    <row r="2301">
      <c r="B2301" s="1" t="inlineStr">
        <is>
          <t>scrutiny</t>
        </is>
      </c>
      <c r="C2301" s="7">
        <f>"n. 详细审查；监视；细看；选票复查"</f>
        <v/>
      </c>
      <c r="G2301" s="18">
        <f>HYPERLINK("D:\python\英语学习\voices\"&amp;B2301&amp;"_1.mp3","BrE")</f>
        <v/>
      </c>
      <c r="H2301" s="18">
        <f>HYPERLINK("D:\python\英语学习\voices\"&amp;B2301&amp;"_2.mp3","AmE")</f>
        <v/>
      </c>
      <c r="I2301" s="18">
        <f>HYPERLINK("http://dict.youdao.com/w/"&amp;B2301,"有道")</f>
        <v/>
      </c>
    </row>
    <row r="2302">
      <c r="B2302" s="1" t="inlineStr">
        <is>
          <t>procrastination</t>
        </is>
      </c>
      <c r="C2302" s="7">
        <f>"n. 耽搁，拖延；拖延症"</f>
        <v/>
      </c>
      <c r="G2302" s="18">
        <f>HYPERLINK("D:\python\英语学习\voices\"&amp;B2302&amp;"_1.mp3","BrE")</f>
        <v/>
      </c>
      <c r="H2302" s="18">
        <f>HYPERLINK("D:\python\英语学习\voices\"&amp;B2302&amp;"_2.mp3","AmE")</f>
        <v/>
      </c>
      <c r="I2302" s="18">
        <f>HYPERLINK("http://dict.youdao.com/w/"&amp;B2302,"有道")</f>
        <v/>
      </c>
    </row>
    <row customHeight="1" ht="42.75" r="2303">
      <c r="A2303" s="1" t="inlineStr">
        <is>
          <t>practice</t>
        </is>
      </c>
      <c r="B2303" s="1" t="inlineStr">
        <is>
          <t>sarcastic</t>
        </is>
      </c>
      <c r="C2303" s="7">
        <f>"adj. 挖苦的；尖刻的，辛辣的"</f>
        <v/>
      </c>
      <c r="G2303" s="18">
        <f>HYPERLINK("D:\python\英语学习\voices\"&amp;B2303&amp;"_1.mp3","BrE")</f>
        <v/>
      </c>
      <c r="H2303" s="18">
        <f>HYPERLINK("D:\python\英语学习\voices\"&amp;B2303&amp;"_2.mp3","AmE")</f>
        <v/>
      </c>
      <c r="I2303" s="18">
        <f>HYPERLINK("http://dict.youdao.com/w/"&amp;B2303,"有道")</f>
        <v/>
      </c>
    </row>
    <row customHeight="1" ht="28.5" r="2304">
      <c r="A2304" s="1" t="inlineStr">
        <is>
          <t>practice</t>
        </is>
      </c>
      <c r="B2304" s="1" t="inlineStr">
        <is>
          <t>savour</t>
        </is>
      </c>
      <c r="C2304" s="7">
        <f>"vt. 具有…的特点；加调味品于；使有风味"&amp;CHAR(10)&amp;"n. 滋味；风味"</f>
        <v/>
      </c>
      <c r="G2304" s="18">
        <f>HYPERLINK("D:\python\英语学习\voices\"&amp;B2304&amp;"_1.mp3","BrE")</f>
        <v/>
      </c>
      <c r="H2304" s="18">
        <f>HYPERLINK("D:\python\英语学习\voices\"&amp;B2304&amp;"_2.mp3","AmE")</f>
        <v/>
      </c>
      <c r="I2304" s="18">
        <f>HYPERLINK("http://dict.youdao.com/w/"&amp;B2304,"有道")</f>
        <v/>
      </c>
    </row>
    <row customHeight="1" ht="28.5" r="2305">
      <c r="B2305" s="1" t="inlineStr">
        <is>
          <t>stimulant</t>
        </is>
      </c>
      <c r="C2305" s="7">
        <f>"n. [药] 兴奋剂；刺激物；酒精饮料"&amp;CHAR(10)&amp;"adj. 激励的；使人兴奋的"</f>
        <v/>
      </c>
      <c r="G2305" s="18">
        <f>HYPERLINK("D:\python\英语学习\voices\"&amp;B2305&amp;"_1.mp3","BrE")</f>
        <v/>
      </c>
      <c r="H2305" s="18">
        <f>HYPERLINK("D:\python\英语学习\voices\"&amp;B2305&amp;"_2.mp3","AmE")</f>
        <v/>
      </c>
      <c r="I2305" s="18">
        <f>HYPERLINK("http://dict.youdao.com/w/"&amp;B2305,"有道")</f>
        <v/>
      </c>
    </row>
    <row customHeight="1" ht="42.75" r="2306">
      <c r="A2306" s="1" t="inlineStr">
        <is>
          <t>practice</t>
        </is>
      </c>
      <c r="B2306" s="1" t="inlineStr">
        <is>
          <t>shriek</t>
        </is>
      </c>
      <c r="C2306" s="7">
        <f>"vi. 尖叫；促人注意"&amp;CHAR(10)&amp;"vt. 尖声发出"&amp;CHAR(10)&amp;"n. 尖声；尖锐的响声"</f>
        <v/>
      </c>
      <c r="G2306" s="18">
        <f>HYPERLINK("D:\python\英语学习\voices\"&amp;B2306&amp;"_1.mp3","BrE")</f>
        <v/>
      </c>
      <c r="H2306" s="18">
        <f>HYPERLINK("D:\python\英语学习\voices\"&amp;B2306&amp;"_2.mp3","AmE")</f>
        <v/>
      </c>
      <c r="I2306" s="18">
        <f>HYPERLINK("http://dict.youdao.com/w/"&amp;B2306,"有道")</f>
        <v/>
      </c>
    </row>
    <row customHeight="1" ht="42.75" r="2307">
      <c r="A2307" s="1" t="inlineStr">
        <is>
          <t>practice</t>
        </is>
      </c>
      <c r="B2307" s="1" t="inlineStr">
        <is>
          <t>silhouette</t>
        </is>
      </c>
      <c r="C2307" s="7">
        <f>"n. 轮廓，剪影"&amp;CHAR(10)&amp;"vt. 使…照出影子来；使…仅仅显出轮廓"&amp;CHAR(10)&amp;"n. (Silhouette)人名；(法)西卢埃特"</f>
        <v/>
      </c>
      <c r="E2307" s="6" t="inlineStr">
        <is>
          <t>注意拼写，注意发音</t>
        </is>
      </c>
      <c r="G2307" s="18">
        <f>HYPERLINK("D:\python\英语学习\voices\"&amp;B2307&amp;"_1.mp3","BrE")</f>
        <v/>
      </c>
      <c r="H2307" s="18">
        <f>HYPERLINK("D:\python\英语学习\voices\"&amp;B2307&amp;"_2.mp3","AmE")</f>
        <v/>
      </c>
      <c r="I2307" s="18">
        <f>HYPERLINK("http://dict.youdao.com/w/"&amp;B2307,"有道")</f>
        <v/>
      </c>
    </row>
    <row customHeight="1" ht="42.75" r="2308">
      <c r="B2308" s="1" t="inlineStr">
        <is>
          <t>tenant</t>
        </is>
      </c>
      <c r="C2308" s="7">
        <f>"n. 承租人；房客；佃户；居住者"&amp;CHAR(10)&amp;"vt. 租借（常用于被动语态）"&amp;CHAR(10)&amp;"n. (Tenant)人名；(法)特南"</f>
        <v/>
      </c>
      <c r="G2308" s="18">
        <f>HYPERLINK("D:\python\英语学习\voices\"&amp;B2308&amp;"_1.mp3","BrE")</f>
        <v/>
      </c>
      <c r="H2308" s="18">
        <f>HYPERLINK("D:\python\英语学习\voices\"&amp;B2308&amp;"_2.mp3","AmE")</f>
        <v/>
      </c>
      <c r="I2308" s="18">
        <f>HYPERLINK("http://dict.youdao.com/w/"&amp;B2308,"有道")</f>
        <v/>
      </c>
    </row>
    <row customHeight="1" ht="28.5" r="2309">
      <c r="A2309" s="1" t="inlineStr">
        <is>
          <t>practice</t>
        </is>
      </c>
      <c r="B2309" s="1" t="inlineStr">
        <is>
          <t>simultaneous</t>
        </is>
      </c>
      <c r="C2309" s="7">
        <f>"adj. 同时的；联立的；同时发生的"&amp;CHAR(10)&amp;"n. 同时译员"</f>
        <v/>
      </c>
      <c r="G2309" s="18">
        <f>HYPERLINK("D:\python\英语学习\voices\"&amp;B2309&amp;"_1.mp3","BrE")</f>
        <v/>
      </c>
      <c r="H2309" s="18">
        <f>HYPERLINK("D:\python\英语学习\voices\"&amp;B2309&amp;"_2.mp3","AmE")</f>
        <v/>
      </c>
      <c r="I2309" s="18">
        <f>HYPERLINK("http://dict.youdao.com/w/"&amp;B2309,"有道")</f>
        <v/>
      </c>
    </row>
    <row r="2310">
      <c r="A2310" s="1" t="inlineStr">
        <is>
          <t>practice</t>
        </is>
      </c>
      <c r="B2310" s="1" t="inlineStr">
        <is>
          <t>speculative</t>
        </is>
      </c>
      <c r="C2310" s="7">
        <f>"adj. 投机的；推测的；思索性的"</f>
        <v/>
      </c>
      <c r="G2310" s="18">
        <f>HYPERLINK("D:\python\英语学习\voices\"&amp;B2310&amp;"_1.mp3","BrE")</f>
        <v/>
      </c>
      <c r="H2310" s="18">
        <f>HYPERLINK("D:\python\英语学习\voices\"&amp;B2310&amp;"_2.mp3","AmE")</f>
        <v/>
      </c>
      <c r="I2310" s="18">
        <f>HYPERLINK("http://dict.youdao.com/w/"&amp;B2310,"有道")</f>
        <v/>
      </c>
    </row>
    <row r="2311">
      <c r="B2311" s="1" t="inlineStr">
        <is>
          <t>municipal</t>
        </is>
      </c>
      <c r="C2311" s="7">
        <f>"adj. 市政的，市的；地方自治的"</f>
        <v/>
      </c>
      <c r="E2311" s="6" t="inlineStr">
        <is>
          <t>注意拼写</t>
        </is>
      </c>
      <c r="G2311" s="18">
        <f>HYPERLINK("D:\python\英语学习\voices\"&amp;B2311&amp;"_1.mp3","BrE")</f>
        <v/>
      </c>
      <c r="H2311" s="18">
        <f>HYPERLINK("D:\python\英语学习\voices\"&amp;B2311&amp;"_2.mp3","AmE")</f>
        <v/>
      </c>
      <c r="I2311" s="18">
        <f>HYPERLINK("http://dict.youdao.com/w/"&amp;B2311,"有道")</f>
        <v/>
      </c>
    </row>
    <row r="2312">
      <c r="B2312" s="1" t="inlineStr">
        <is>
          <t>demographic</t>
        </is>
      </c>
      <c r="C2312" s="7">
        <f>"adj. 人口统计学的；人口学的"</f>
        <v/>
      </c>
      <c r="G2312" s="18">
        <f>HYPERLINK("D:\python\英语学习\voices\"&amp;B2312&amp;"_1.mp3","BrE")</f>
        <v/>
      </c>
      <c r="H2312" s="18">
        <f>HYPERLINK("D:\python\英语学习\voices\"&amp;B2312&amp;"_2.mp3","AmE")</f>
        <v/>
      </c>
      <c r="I2312" s="18">
        <f>HYPERLINK("http://dict.youdao.com/w/"&amp;B2312,"有道")</f>
        <v/>
      </c>
    </row>
    <row customHeight="1" ht="28.5" r="2313">
      <c r="B2313" s="1" t="inlineStr">
        <is>
          <t>proximity</t>
        </is>
      </c>
      <c r="C2313" s="7">
        <f>"n. 接近，[数]邻近；接近；接近度，距离；亲近"</f>
        <v/>
      </c>
      <c r="G2313" s="18">
        <f>HYPERLINK("D:\python\英语学习\voices\"&amp;B2313&amp;"_1.mp3","BrE")</f>
        <v/>
      </c>
      <c r="H2313" s="18">
        <f>HYPERLINK("D:\python\英语学习\voices\"&amp;B2313&amp;"_2.mp3","AmE")</f>
        <v/>
      </c>
      <c r="I2313" s="18">
        <f>HYPERLINK("http://dict.youdao.com/w/"&amp;B2313,"有道")</f>
        <v/>
      </c>
    </row>
    <row customHeight="1" ht="28.5" r="2314">
      <c r="A2314" s="1" t="inlineStr">
        <is>
          <t>practice</t>
        </is>
      </c>
      <c r="B2314" s="1" t="inlineStr">
        <is>
          <t>stagnant</t>
        </is>
      </c>
      <c r="C2314" s="7">
        <f>"adj. 停滞的；不景气的；污浊的；迟钝的"</f>
        <v/>
      </c>
      <c r="G2314" s="18">
        <f>HYPERLINK("D:\python\英语学习\voices\"&amp;B2314&amp;"_1.mp3","BrE")</f>
        <v/>
      </c>
      <c r="H2314" s="18">
        <f>HYPERLINK("D:\python\英语学习\voices\"&amp;B2314&amp;"_2.mp3","AmE")</f>
        <v/>
      </c>
      <c r="I2314" s="18">
        <f>HYPERLINK("http://dict.youdao.com/w/"&amp;B2314,"有道")</f>
        <v/>
      </c>
    </row>
    <row customHeight="1" ht="42.75" r="2315">
      <c r="A2315" s="1" t="inlineStr">
        <is>
          <t>practice</t>
        </is>
      </c>
      <c r="B2315" s="1" t="inlineStr">
        <is>
          <t>startle</t>
        </is>
      </c>
      <c r="C2315" s="7">
        <f>"vt. 使吓一跳；使惊奇"&amp;CHAR(10)&amp;"vi. 惊吓；惊跳；惊奇"&amp;CHAR(10)&amp;"n. 惊愕；惊恐"</f>
        <v/>
      </c>
      <c r="E2315" s="6" t="inlineStr">
        <is>
          <t>这组词都有“惊吓、惊恐”的意思，其区别是：
alarm 着重指某人意识到危险而突然产生的惊恐。
terrify 语气最强，指惊骇得六神无主，魂飞魄散。
intimidate 特指恐吓某人，迫使其做某事。
frightem 普通用词，使用广泛，指产生突然、短暂的惊慌、恐怖感。
scare 指非正式文体中可与frighten换用，但语气较重，侧重人受惊吓后立即停下正在干的事或跑掉。
startle 强调突然使人惊骇或震惊。</t>
        </is>
      </c>
      <c r="G2315" s="18">
        <f>HYPERLINK("D:\python\英语学习\voices\"&amp;B2315&amp;"_1.mp3","BrE")</f>
        <v/>
      </c>
      <c r="H2315" s="18">
        <f>HYPERLINK("D:\python\英语学习\voices\"&amp;B2315&amp;"_2.mp3","AmE")</f>
        <v/>
      </c>
      <c r="I2315" s="18">
        <f>HYPERLINK("http://dict.youdao.com/w/"&amp;B2315,"有道")</f>
        <v/>
      </c>
    </row>
    <row r="2316">
      <c r="B2316" s="1" t="inlineStr">
        <is>
          <t>indisputable</t>
        </is>
      </c>
      <c r="C2316" s="7">
        <f>"adj. 明白的；无争论之余地的"</f>
        <v/>
      </c>
      <c r="G2316" s="18">
        <f>HYPERLINK("D:\python\英语学习\voices\"&amp;B2316&amp;"_1.mp3","BrE")</f>
        <v/>
      </c>
      <c r="H2316" s="18">
        <f>HYPERLINK("D:\python\英语学习\voices\"&amp;B2316&amp;"_2.mp3","AmE")</f>
        <v/>
      </c>
      <c r="I2316" s="18">
        <f>HYPERLINK("http://dict.youdao.com/w/"&amp;B2316,"有道")</f>
        <v/>
      </c>
    </row>
    <row customHeight="1" ht="57" r="2317">
      <c r="B2317" s="1" t="inlineStr">
        <is>
          <t>marine</t>
        </is>
      </c>
      <c r="C2317" s="7">
        <f>"adj. 船舶的；海生的；海产的；航海的，海运的"&amp;CHAR(10)&amp;"n. 海运业；舰队；水兵；（海军）士兵或军官"&amp;CHAR(10)&amp;"n. (Marine)人名；(西)马里内；(英)马林"</f>
        <v/>
      </c>
      <c r="G2317" s="18">
        <f>HYPERLINK("D:\python\英语学习\voices\"&amp;B2317&amp;"_1.mp3","BrE")</f>
        <v/>
      </c>
      <c r="H2317" s="18">
        <f>HYPERLINK("D:\python\英语学习\voices\"&amp;B2317&amp;"_2.mp3","AmE")</f>
        <v/>
      </c>
      <c r="I2317" s="18">
        <f>HYPERLINK("http://dict.youdao.com/w/"&amp;B2317,"有道")</f>
        <v/>
      </c>
    </row>
    <row r="2318">
      <c r="A2318" s="1" t="inlineStr">
        <is>
          <t>practice</t>
        </is>
      </c>
      <c r="B2318" s="1" t="inlineStr">
        <is>
          <t>statutory</t>
        </is>
      </c>
      <c r="C2318" s="7">
        <f>"adj. 法定的；法令的；可依法惩处的"</f>
        <v/>
      </c>
      <c r="G2318" s="18">
        <f>HYPERLINK("D:\python\英语学习\voices\"&amp;B2318&amp;"_1.mp3","BrE")</f>
        <v/>
      </c>
      <c r="H2318" s="18">
        <f>HYPERLINK("D:\python\英语学习\voices\"&amp;B2318&amp;"_2.mp3","AmE")</f>
        <v/>
      </c>
      <c r="I2318" s="18">
        <f>HYPERLINK("http://dict.youdao.com/w/"&amp;B2318,"有道")</f>
        <v/>
      </c>
    </row>
    <row r="2319">
      <c r="B2319" s="1" t="inlineStr">
        <is>
          <t>maritime</t>
        </is>
      </c>
      <c r="C2319" s="7">
        <f>"adj. 海的；海事的；沿海的；海员的"</f>
        <v/>
      </c>
      <c r="G2319" s="18">
        <f>HYPERLINK("D:\python\英语学习\voices\"&amp;B2319&amp;"_1.mp3","BrE")</f>
        <v/>
      </c>
      <c r="H2319" s="18">
        <f>HYPERLINK("D:\python\英语学习\voices\"&amp;B2319&amp;"_2.mp3","AmE")</f>
        <v/>
      </c>
      <c r="I2319" s="18">
        <f>HYPERLINK("http://dict.youdao.com/w/"&amp;B2319,"有道")</f>
        <v/>
      </c>
    </row>
    <row customHeight="1" ht="42.75" r="2320">
      <c r="B2320" s="1" t="inlineStr">
        <is>
          <t>bold</t>
        </is>
      </c>
      <c r="C2320" s="7">
        <f>"adj. 大胆的，英勇的；黑体的；厚颜无耻的；险峻的"&amp;CHAR(10)&amp;"n. (Bold)人名；(英、德、罗、捷、瑞典)博尔德"</f>
        <v/>
      </c>
      <c r="G2320" s="18">
        <f>HYPERLINK("D:\python\英语学习\voices\"&amp;B2320&amp;"_1.mp3","BrE")</f>
        <v/>
      </c>
      <c r="H2320" s="18">
        <f>HYPERLINK("D:\python\英语学习\voices\"&amp;B2320&amp;"_2.mp3","AmE")</f>
        <v/>
      </c>
      <c r="I2320" s="18">
        <f>HYPERLINK("http://dict.youdao.com/w/"&amp;B2320,"有道")</f>
        <v/>
      </c>
    </row>
    <row customHeight="1" ht="85.5" r="2321">
      <c r="B2321" s="1" t="inlineStr">
        <is>
          <t>stock</t>
        </is>
      </c>
      <c r="C2321" s="7">
        <f>"n. 股份，股票；库存；血统；树干；家畜"&amp;CHAR(10)&amp;"adj. 存货的，常备的；平凡的"&amp;CHAR(10)&amp;"vt. 进货；备有；装把手于…"&amp;CHAR(10)&amp;"vi. 囤积；办货；出新芽"&amp;CHAR(10)&amp;"n. (Stock)人名；(德、匈、捷)施托克；(英、法、葡、瑞典)斯托克"</f>
        <v/>
      </c>
      <c r="G2321" s="18">
        <f>HYPERLINK("D:\python\英语学习\voices\"&amp;B2321&amp;"_1.mp3","BrE")</f>
        <v/>
      </c>
      <c r="H2321" s="18">
        <f>HYPERLINK("D:\python\英语学习\voices\"&amp;B2321&amp;"_2.mp3","AmE")</f>
        <v/>
      </c>
      <c r="I2321" s="18">
        <f>HYPERLINK("http://dict.youdao.com/w/"&amp;B2321,"有道")</f>
        <v/>
      </c>
    </row>
    <row customHeight="1" ht="57" r="2322">
      <c r="A2322" t="inlineStr">
        <is>
          <t>practice</t>
        </is>
      </c>
      <c r="B2322" s="1" t="inlineStr">
        <is>
          <t>stern</t>
        </is>
      </c>
      <c r="C2322" s="7">
        <f>"n. 船尾；末端"&amp;CHAR(10)&amp;"adj. 严厉的；坚定的"&amp;CHAR(10)&amp;"n. (Stern)人名；(英、以、法、瑞典、西)斯特恩；(德、波、匈)施特恩"</f>
        <v/>
      </c>
      <c r="G2322" s="18">
        <f>HYPERLINK("D:\python\英语学习\voices\"&amp;B2322&amp;"_1.mp3","BrE")</f>
        <v/>
      </c>
      <c r="H2322" s="18">
        <f>HYPERLINK("D:\python\英语学习\voices\"&amp;B2322&amp;"_2.mp3","AmE")</f>
        <v/>
      </c>
      <c r="I2322" s="18">
        <f>HYPERLINK("http://dict.youdao.com/w/"&amp;B2322,"有道")</f>
        <v/>
      </c>
    </row>
    <row r="2323">
      <c r="B2323" s="1" t="inlineStr">
        <is>
          <t>collaboration</t>
        </is>
      </c>
      <c r="C2323" s="7">
        <f>"n. 合作；勾结；通敌"</f>
        <v/>
      </c>
      <c r="G2323" s="18">
        <f>HYPERLINK("D:\python\英语学习\voices\"&amp;B2323&amp;"_1.mp3","BrE")</f>
        <v/>
      </c>
      <c r="H2323" s="18">
        <f>HYPERLINK("D:\python\英语学习\voices\"&amp;B2323&amp;"_2.mp3","AmE")</f>
        <v/>
      </c>
      <c r="I2323" s="18">
        <f>HYPERLINK("http://dict.youdao.com/w/"&amp;B2323,"有道")</f>
        <v/>
      </c>
    </row>
    <row r="2324">
      <c r="B2324" s="1" t="inlineStr">
        <is>
          <t>affixing</t>
        </is>
      </c>
      <c r="C2324" s="7">
        <f>"v. 粘贴；使…附于（affix的ing形式）"</f>
        <v/>
      </c>
      <c r="G2324" s="18">
        <f>HYPERLINK("D:\python\英语学习\voices\"&amp;B2324&amp;"_1.mp3","BrE")</f>
        <v/>
      </c>
      <c r="H2324" s="18">
        <f>HYPERLINK("D:\python\英语学习\voices\"&amp;B2324&amp;"_2.mp3","AmE")</f>
        <v/>
      </c>
      <c r="I2324" s="18">
        <f>HYPERLINK("http://dict.youdao.com/w/"&amp;B2324,"有道")</f>
        <v/>
      </c>
    </row>
    <row customHeight="1" ht="42.75" r="2325">
      <c r="A2325" s="1" t="inlineStr">
        <is>
          <t>unnecessary</t>
        </is>
      </c>
      <c r="B2325" s="1" t="inlineStr">
        <is>
          <t>tenfold</t>
        </is>
      </c>
      <c r="C2325" s="7">
        <f>"adj. 十倍的；十重的"&amp;CHAR(10)&amp;"adv. 十倍地；成十倍"&amp;CHAR(10)&amp;"n. 十倍"</f>
        <v/>
      </c>
      <c r="G2325" s="18">
        <f>HYPERLINK("D:\python\英语学习\voices\"&amp;B2325&amp;"_1.mp3","BrE")</f>
        <v/>
      </c>
      <c r="H2325" s="18">
        <f>HYPERLINK("D:\python\英语学习\voices\"&amp;B2325&amp;"_2.mp3","AmE")</f>
        <v/>
      </c>
      <c r="I2325" s="18">
        <f>HYPERLINK("http://dict.youdao.com/w/"&amp;B2325,"有道")</f>
        <v/>
      </c>
    </row>
    <row customHeight="1" ht="42.75" r="2326">
      <c r="A2326" s="1" t="inlineStr">
        <is>
          <t>practice</t>
        </is>
      </c>
      <c r="B2326" s="1" t="inlineStr">
        <is>
          <t>stifle</t>
        </is>
      </c>
      <c r="C2326" s="7">
        <f>"vt. 扼杀；使窒息；藏匿"&amp;CHAR(10)&amp;"vi. 窒息；被扼杀"&amp;CHAR(10)&amp;"n. （马等的）后膝关节；（马等的）[动] 后膝关节病"</f>
        <v/>
      </c>
      <c r="F2326" s="14">
        <f>"My major concern was that a large bureaucracy, however organized, tends to stifle creativity.
我主要担心的是，一个庞大的政府机构，无论组织得多么好，也容易窒息创造性"&amp;CHAR(10)&amp;"He said the protests represent a backlash to Beijing's efforts to stifle human rights and religious freedom in Tibetan areas of China.
他说，抗议活动是对中国政府在西藏地区压制人权和宗教信仰自由的反弹。"&amp;CHAR(10)&amp;"There is no doubt that this will stifle the advance of the science around search engines.
毫无疑问这将抑制搜索引擎科学的进步。"</f>
        <v/>
      </c>
      <c r="G2326" s="18">
        <f>HYPERLINK("D:\python\英语学习\voices\"&amp;B2326&amp;"_1.mp3","BrE")</f>
        <v/>
      </c>
      <c r="H2326" s="18">
        <f>HYPERLINK("D:\python\英语学习\voices\"&amp;B2326&amp;"_2.mp3","AmE")</f>
        <v/>
      </c>
      <c r="I2326" s="18">
        <f>HYPERLINK("http://dict.youdao.com/w/"&amp;B2326,"有道")</f>
        <v/>
      </c>
    </row>
    <row customHeight="1" ht="28.5" r="2327">
      <c r="B2327" s="1" t="inlineStr">
        <is>
          <t>scoop</t>
        </is>
      </c>
      <c r="C2327" s="7">
        <f>"vt. 掘；舀取；抢先获得；搜集"&amp;CHAR(10)&amp;"n. 勺；铲子；独家新闻；凹处"</f>
        <v/>
      </c>
      <c r="G2327" s="18">
        <f>HYPERLINK("D:\python\英语学习\voices\"&amp;B2327&amp;"_1.mp3","BrE")</f>
        <v/>
      </c>
      <c r="H2327" s="18">
        <f>HYPERLINK("D:\python\英语学习\voices\"&amp;B2327&amp;"_2.mp3","AmE")</f>
        <v/>
      </c>
      <c r="I2327" s="18">
        <f>HYPERLINK("http://dict.youdao.com/w/"&amp;B2327,"有道")</f>
        <v/>
      </c>
    </row>
    <row r="2328">
      <c r="B2328" s="1" t="inlineStr">
        <is>
          <t>hard-won</t>
        </is>
      </c>
      <c r="C2328" s="7">
        <f>"adj. 来之不易的；难得的"</f>
        <v/>
      </c>
      <c r="G2328" s="18">
        <f>HYPERLINK("D:\python\英语学习\voices\"&amp;B2328&amp;"_1.mp3","BrE")</f>
        <v/>
      </c>
      <c r="H2328" s="18">
        <f>HYPERLINK("D:\python\英语学习\voices\"&amp;B2328&amp;"_2.mp3","AmE")</f>
        <v/>
      </c>
      <c r="I2328" s="18">
        <f>HYPERLINK("http://dict.youdao.com/w/"&amp;B2328,"有道")</f>
        <v/>
      </c>
    </row>
    <row customHeight="1" ht="57" r="2329">
      <c r="B2329" s="1" t="inlineStr">
        <is>
          <t>stake</t>
        </is>
      </c>
      <c r="C2329" s="7">
        <f>"n. 桩，棍子；赌注；火刑；奖金"&amp;CHAR(10)&amp;"vt. 资助，支持；系…于桩上；把…押下打赌"&amp;CHAR(10)&amp;"vi. 打赌"&amp;CHAR(10)&amp;"n. (Stake)人名；(瑞典)斯塔克"</f>
        <v/>
      </c>
      <c r="G2329" s="18">
        <f>HYPERLINK("D:\python\英语学习\voices\"&amp;B2329&amp;"_1.mp3","BrE")</f>
        <v/>
      </c>
      <c r="H2329" s="18">
        <f>HYPERLINK("D:\python\英语学习\voices\"&amp;B2329&amp;"_2.mp3","AmE")</f>
        <v/>
      </c>
      <c r="I2329" s="18">
        <f>HYPERLINK("http://dict.youdao.com/w/"&amp;B2329,"有道")</f>
        <v/>
      </c>
    </row>
    <row r="2330">
      <c r="B2330" s="1" t="inlineStr">
        <is>
          <t>repository</t>
        </is>
      </c>
      <c r="C2330" s="7">
        <f>"n. 贮藏室，仓库；知识库；智囊团"</f>
        <v/>
      </c>
      <c r="G2330" s="18">
        <f>HYPERLINK("D:\python\英语学习\voices\"&amp;B2330&amp;"_1.mp3","BrE")</f>
        <v/>
      </c>
      <c r="H2330" s="18">
        <f>HYPERLINK("D:\python\英语学习\voices\"&amp;B2330&amp;"_2.mp3","AmE")</f>
        <v/>
      </c>
      <c r="I2330" s="18">
        <f>HYPERLINK("http://dict.youdao.com/w/"&amp;B2330,"有道")</f>
        <v/>
      </c>
    </row>
    <row r="2331">
      <c r="B2331" s="1" t="inlineStr">
        <is>
          <t>plagiarism</t>
        </is>
      </c>
      <c r="C2331" s="7">
        <f>"n. 剽窃；剽窃物"</f>
        <v/>
      </c>
      <c r="G2331" s="18">
        <f>HYPERLINK("D:\python\英语学习\voices\"&amp;B2331&amp;"_1.mp3","BrE")</f>
        <v/>
      </c>
      <c r="H2331" s="18">
        <f>HYPERLINK("D:\python\英语学习\voices\"&amp;B2331&amp;"_2.mp3","AmE")</f>
        <v/>
      </c>
      <c r="I2331" s="18">
        <f>HYPERLINK("http://dict.youdao.com/w/"&amp;B2331,"有道")</f>
        <v/>
      </c>
    </row>
    <row customHeight="1" ht="57" r="2332">
      <c r="B2332" s="1" t="inlineStr">
        <is>
          <t>vocal</t>
        </is>
      </c>
      <c r="C2332" s="7">
        <f>"adj. 歌唱的；声音的，有声的"&amp;CHAR(10)&amp;"adj. 直言不讳的"&amp;CHAR(10)&amp;"n. 声乐作品；元音"&amp;CHAR(10)&amp;"n. Vocal)人名；(西)博卡尔"</f>
        <v/>
      </c>
      <c r="G2332" s="18">
        <f>HYPERLINK("D:\python\英语学习\voices\"&amp;B2332&amp;"_1.mp3","BrE")</f>
        <v/>
      </c>
      <c r="H2332" s="18">
        <f>HYPERLINK("D:\python\英语学习\voices\"&amp;B2332&amp;"_2.mp3","AmE")</f>
        <v/>
      </c>
      <c r="I2332" s="18">
        <f>HYPERLINK("http://dict.youdao.com/w/"&amp;B2332,"有道")</f>
        <v/>
      </c>
    </row>
    <row customHeight="1" ht="28.5" r="2333">
      <c r="B2333" s="1" t="inlineStr">
        <is>
          <t>perceive</t>
        </is>
      </c>
      <c r="C2333" s="7">
        <f>"vt. 察觉，感觉；理解；认知"&amp;CHAR(10)&amp;"vi. 感到，感知；认识到"</f>
        <v/>
      </c>
      <c r="G2333" s="18">
        <f>HYPERLINK("D:\python\英语学习\voices\"&amp;B2333&amp;"_1.mp3","BrE")</f>
        <v/>
      </c>
      <c r="H2333" s="18">
        <f>HYPERLINK("D:\python\英语学习\voices\"&amp;B2333&amp;"_2.mp3","AmE")</f>
        <v/>
      </c>
      <c r="I2333" s="18">
        <f>HYPERLINK("http://dict.youdao.com/w/"&amp;B2333,"有道")</f>
        <v/>
      </c>
    </row>
    <row customHeight="1" ht="71.25" r="2334">
      <c r="A2334" t="inlineStr">
        <is>
          <t>practice</t>
        </is>
      </c>
      <c r="B2334" s="1" t="inlineStr">
        <is>
          <t>stipulate</t>
        </is>
      </c>
      <c r="C2334" s="7">
        <f>"vi. 规定；保证"&amp;CHAR(10)&amp;"vt. 规定；保证"&amp;CHAR(10)&amp;"adj. 有托叶的"</f>
        <v/>
      </c>
      <c r="E2334" s="6" t="inlineStr">
        <is>
          <t>和stimulate刺激区分</t>
        </is>
      </c>
      <c r="G2334" s="18">
        <f>HYPERLINK("D:\python\英语学习\voices\"&amp;B2334&amp;"_1.mp3","BrE")</f>
        <v/>
      </c>
      <c r="H2334" s="18">
        <f>HYPERLINK("D:\python\英语学习\voices\"&amp;B2334&amp;"_2.mp3","AmE")</f>
        <v/>
      </c>
      <c r="I2334" s="18">
        <f>HYPERLINK("http://dict.youdao.com/w/"&amp;B2334,"有道")</f>
        <v/>
      </c>
    </row>
    <row customHeight="1" ht="28.5" r="2335">
      <c r="A2335" s="1" t="inlineStr">
        <is>
          <t>practice</t>
        </is>
      </c>
      <c r="B2335" s="1" t="inlineStr">
        <is>
          <t>stoop</t>
        </is>
      </c>
      <c r="C2335" s="7">
        <f>"vi. 弯腰；屈服；堕落"&amp;CHAR(10)&amp;"n. 弯腰，屈背；屈服"&amp;CHAR(10)&amp;"vt. 辱没，堕落；俯曲"&amp;CHAR(10)&amp;"n. (Stoop)人名；(法、荷、葡)斯托普"</f>
        <v/>
      </c>
      <c r="G2335" s="18">
        <f>HYPERLINK("D:\python\英语学习\voices\"&amp;B2335&amp;"_1.mp3","BrE")</f>
        <v/>
      </c>
      <c r="H2335" s="18">
        <f>HYPERLINK("D:\python\英语学习\voices\"&amp;B2335&amp;"_2.mp3","AmE")</f>
        <v/>
      </c>
      <c r="I2335" s="18">
        <f>HYPERLINK("http://dict.youdao.com/w/"&amp;B2335,"有道")</f>
        <v/>
      </c>
    </row>
    <row customHeight="1" ht="28.5" r="2336">
      <c r="A2336" s="1" t="inlineStr">
        <is>
          <t>practice</t>
        </is>
      </c>
      <c r="B2336" s="1" t="inlineStr">
        <is>
          <t>strenuous</t>
        </is>
      </c>
      <c r="C2336" s="7">
        <f>"adj. 紧张的；费力的；奋发的；艰苦的；热烈的"</f>
        <v/>
      </c>
      <c r="E2336" s="6" t="inlineStr">
        <is>
          <t>注意拼写-是nuous所以有ju的音</t>
        </is>
      </c>
      <c r="G2336" s="18">
        <f>HYPERLINK("D:\python\英语学习\voices\"&amp;B2336&amp;"_1.mp3","BrE")</f>
        <v/>
      </c>
      <c r="H2336" s="18">
        <f>HYPERLINK("D:\python\英语学习\voices\"&amp;B2336&amp;"_2.mp3","AmE")</f>
        <v/>
      </c>
      <c r="I2336" s="18">
        <f>HYPERLINK("http://dict.youdao.com/w/"&amp;B2336,"有道")</f>
        <v/>
      </c>
    </row>
    <row r="2337">
      <c r="B2337" s="1" t="inlineStr">
        <is>
          <t>imperiled</t>
        </is>
      </c>
      <c r="C2337" s="7">
        <f>"vt. 危及；使陷于危险"</f>
        <v/>
      </c>
      <c r="G2337" s="18">
        <f>HYPERLINK("D:\python\英语学习\voices\"&amp;B2337&amp;"_1.mp3","BrE")</f>
        <v/>
      </c>
      <c r="H2337" s="18">
        <f>HYPERLINK("D:\python\英语学习\voices\"&amp;B2337&amp;"_2.mp3","AmE")</f>
        <v/>
      </c>
      <c r="I2337" s="18">
        <f>HYPERLINK("http://dict.youdao.com/w/"&amp;B2337,"有道")</f>
        <v/>
      </c>
    </row>
    <row customHeight="1" ht="42.75" r="2338">
      <c r="B2338" s="1" t="inlineStr">
        <is>
          <t>divorce</t>
        </is>
      </c>
      <c r="C2338" s="7">
        <f>"vt. 使离婚，使分离；与…离婚"&amp;CHAR(10)&amp;"n. 离婚；分离"&amp;CHAR(10)&amp;"vi. 离婚"</f>
        <v/>
      </c>
      <c r="G2338" s="18">
        <f>HYPERLINK("D:\python\英语学习\voices\"&amp;B2338&amp;"_1.mp3","BrE")</f>
        <v/>
      </c>
      <c r="H2338" s="18">
        <f>HYPERLINK("D:\python\英语学习\voices\"&amp;B2338&amp;"_2.mp3","AmE")</f>
        <v/>
      </c>
      <c r="I2338" s="18">
        <f>HYPERLINK("http://dict.youdao.com/w/"&amp;B2338,"有道")</f>
        <v/>
      </c>
    </row>
    <row r="2339">
      <c r="B2339" s="1" t="inlineStr">
        <is>
          <t>divorced</t>
        </is>
      </c>
      <c r="C2339" s="7">
        <f>"adj. 离婚的；脱离的"</f>
        <v/>
      </c>
      <c r="G2339" s="18">
        <f>HYPERLINK("D:\python\英语学习\voices\"&amp;B2339&amp;"_1.mp3","BrE")</f>
        <v/>
      </c>
      <c r="H2339" s="18">
        <f>HYPERLINK("D:\python\英语学习\voices\"&amp;B2339&amp;"_2.mp3","AmE")</f>
        <v/>
      </c>
      <c r="I2339" s="18">
        <f>HYPERLINK("http://dict.youdao.com/w/"&amp;B2339,"有道")</f>
        <v/>
      </c>
    </row>
    <row customHeight="1" ht="28.5" r="2340">
      <c r="A2340" t="inlineStr">
        <is>
          <t>practice</t>
        </is>
      </c>
      <c r="B2340" s="1" t="inlineStr">
        <is>
          <t>substantial</t>
        </is>
      </c>
      <c r="C2340" s="7">
        <f>"adj. 大量的；实质的；内容充实的"&amp;CHAR(10)&amp;"n. 本质；重要材料"</f>
        <v/>
      </c>
      <c r="G2340" s="18">
        <f>HYPERLINK("D:\python\英语学习\voices\"&amp;B2340&amp;"_1.mp3","BrE")</f>
        <v/>
      </c>
      <c r="H2340" s="18">
        <f>HYPERLINK("D:\python\英语学习\voices\"&amp;B2340&amp;"_2.mp3","AmE")</f>
        <v/>
      </c>
      <c r="I2340" s="18">
        <f>HYPERLINK("http://dict.youdao.com/w/"&amp;B2340,"有道")</f>
        <v/>
      </c>
    </row>
    <row customHeight="1" ht="28.5" r="2341">
      <c r="A2341" s="1" t="inlineStr">
        <is>
          <t>practice</t>
        </is>
      </c>
      <c r="B2341" s="1" t="inlineStr">
        <is>
          <t>suffocate</t>
        </is>
      </c>
      <c r="C2341" s="7">
        <f>"vi. 受阻，受扼制；窒息"&amp;CHAR(10)&amp;"vt. 压制，阻碍；使……窒息"</f>
        <v/>
      </c>
      <c r="G2341" s="18">
        <f>HYPERLINK("D:\python\英语学习\voices\"&amp;B2341&amp;"_1.mp3","BrE")</f>
        <v/>
      </c>
      <c r="H2341" s="18">
        <f>HYPERLINK("D:\python\英语学习\voices\"&amp;B2341&amp;"_2.mp3","AmE")</f>
        <v/>
      </c>
      <c r="I2341" s="18">
        <f>HYPERLINK("http://dict.youdao.com/w/"&amp;B2341,"有道")</f>
        <v/>
      </c>
    </row>
    <row customHeight="1" ht="28.5" r="2342">
      <c r="B2342" s="1" t="inlineStr">
        <is>
          <t>lubricant</t>
        </is>
      </c>
      <c r="C2342" s="7">
        <f>"n. 润滑剂；润滑油"&amp;CHAR(10)&amp;"adj. 润滑的"</f>
        <v/>
      </c>
      <c r="G2342" s="18">
        <f>HYPERLINK("D:\python\英语学习\voices\"&amp;B2342&amp;"_1.mp3","BrE")</f>
        <v/>
      </c>
      <c r="H2342" s="18">
        <f>HYPERLINK("D:\python\英语学习\voices\"&amp;B2342&amp;"_2.mp3","AmE")</f>
        <v/>
      </c>
      <c r="I2342" s="18">
        <f>HYPERLINK("http://dict.youdao.com/w/"&amp;B2342,"有道")</f>
        <v/>
      </c>
    </row>
    <row customHeight="1" ht="42.75" r="2343">
      <c r="A2343" s="1" t="inlineStr">
        <is>
          <t>practice</t>
        </is>
      </c>
      <c r="B2343" s="1" t="inlineStr">
        <is>
          <t>superficial</t>
        </is>
      </c>
      <c r="C2343" s="7">
        <f>"adj. 表面的；肤浅的 ；表面文章的；外表的；（人）浅薄的"</f>
        <v/>
      </c>
      <c r="D2343" s="6" t="inlineStr">
        <is>
          <t>很表面-&gt;肤浅</t>
        </is>
      </c>
      <c r="G2343" s="18">
        <f>HYPERLINK("D:\python\英语学习\voices\"&amp;B2343&amp;"_1.mp3","BrE")</f>
        <v/>
      </c>
      <c r="H2343" s="18">
        <f>HYPERLINK("D:\python\英语学习\voices\"&amp;B2343&amp;"_2.mp3","AmE")</f>
        <v/>
      </c>
      <c r="I2343" s="18">
        <f>HYPERLINK("http://dict.youdao.com/w/"&amp;B2343,"有道")</f>
        <v/>
      </c>
    </row>
    <row r="2344">
      <c r="A2344" s="1" t="inlineStr">
        <is>
          <t>practice</t>
        </is>
      </c>
      <c r="B2344" s="1" t="inlineStr">
        <is>
          <t>thigh</t>
        </is>
      </c>
      <c r="C2344" s="7">
        <f>"n. 大腿，股"</f>
        <v/>
      </c>
      <c r="G2344" s="18">
        <f>HYPERLINK("D:\python\英语学习\voices\"&amp;B2344&amp;"_1.mp3","BrE")</f>
        <v/>
      </c>
      <c r="H2344" s="18">
        <f>HYPERLINK("D:\python\英语学习\voices\"&amp;B2344&amp;"_2.mp3","AmE")</f>
        <v/>
      </c>
      <c r="I2344" s="18">
        <f>HYPERLINK("http://dict.youdao.com/w/"&amp;B2344,"有道")</f>
        <v/>
      </c>
    </row>
    <row r="2345">
      <c r="B2345" s="1" t="inlineStr">
        <is>
          <t>intercourse</t>
        </is>
      </c>
      <c r="C2345" s="7">
        <f>"n. 性交；交往；交流"</f>
        <v/>
      </c>
      <c r="G2345" s="18">
        <f>HYPERLINK("D:\python\英语学习\voices\"&amp;B2345&amp;"_1.mp3","BrE")</f>
        <v/>
      </c>
      <c r="H2345" s="18">
        <f>HYPERLINK("D:\python\英语学习\voices\"&amp;B2345&amp;"_2.mp3","AmE")</f>
        <v/>
      </c>
      <c r="I2345" s="18">
        <f>HYPERLINK("http://dict.youdao.com/w/"&amp;B2345,"有道")</f>
        <v/>
      </c>
    </row>
    <row customHeight="1" ht="28.5" r="2346">
      <c r="B2346" s="1" t="inlineStr">
        <is>
          <t>catching</t>
        </is>
      </c>
      <c r="C2346" s="7">
        <f>"adj. 传染性的；有魅力的"&amp;CHAR(10)&amp;"v. 抓住（catch的ing形式）"</f>
        <v/>
      </c>
      <c r="G2346" s="18">
        <f>HYPERLINK("D:\python\英语学习\voices\"&amp;B2346&amp;"_1.mp3","BrE")</f>
        <v/>
      </c>
      <c r="H2346" s="18">
        <f>HYPERLINK("D:\python\英语学习\voices\"&amp;B2346&amp;"_2.mp3","AmE")</f>
        <v/>
      </c>
      <c r="I2346" s="18">
        <f>HYPERLINK("http://dict.youdao.com/w/"&amp;B2346,"有道")</f>
        <v/>
      </c>
    </row>
    <row r="2347">
      <c r="A2347" s="1" t="inlineStr">
        <is>
          <t>practice</t>
        </is>
      </c>
      <c r="B2347" s="1" t="inlineStr">
        <is>
          <t>threshold</t>
        </is>
      </c>
      <c r="C2347" s="7">
        <f>"n. 入口；门槛；开始；极限；临界值"</f>
        <v/>
      </c>
      <c r="E2347" t="inlineStr">
        <is>
          <t>on the threshold of 在xx的开始</t>
        </is>
      </c>
      <c r="G2347" s="18">
        <f>HYPERLINK("D:\python\英语学习\voices\"&amp;B2347&amp;"_1.mp3","BrE")</f>
        <v/>
      </c>
      <c r="H2347" s="18">
        <f>HYPERLINK("D:\python\英语学习\voices\"&amp;B2347&amp;"_2.mp3","AmE")</f>
        <v/>
      </c>
      <c r="I2347" s="18">
        <f>HYPERLINK("http://dict.youdao.com/w/"&amp;B2347,"有道")</f>
        <v/>
      </c>
    </row>
    <row r="2348">
      <c r="B2348" s="1" t="inlineStr">
        <is>
          <t>profound</t>
        </is>
      </c>
      <c r="C2348" s="7">
        <f>"adj. 深厚的；意义深远的；渊博的"</f>
        <v/>
      </c>
      <c r="G2348" s="18">
        <f>HYPERLINK("D:\python\英语学习\voices\"&amp;B2348&amp;"_1.mp3","BrE")</f>
        <v/>
      </c>
      <c r="H2348" s="18">
        <f>HYPERLINK("D:\python\英语学习\voices\"&amp;B2348&amp;"_2.mp3","AmE")</f>
        <v/>
      </c>
      <c r="I2348" s="18">
        <f>HYPERLINK("http://dict.youdao.com/w/"&amp;B2348,"有道")</f>
        <v/>
      </c>
    </row>
    <row r="2349">
      <c r="B2349" s="1" t="inlineStr">
        <is>
          <t>outnumber</t>
        </is>
      </c>
      <c r="C2349" s="7">
        <f>"vt. 数目超过；比…多"</f>
        <v/>
      </c>
      <c r="G2349" s="18">
        <f>HYPERLINK("D:\python\英语学习\voices\"&amp;B2349&amp;"_1.mp3","BrE")</f>
        <v/>
      </c>
      <c r="H2349" s="18">
        <f>HYPERLINK("D:\python\英语学习\voices\"&amp;B2349&amp;"_2.mp3","AmE")</f>
        <v/>
      </c>
      <c r="I2349" s="18">
        <f>HYPERLINK("http://dict.youdao.com/w/"&amp;B2349,"有道")</f>
        <v/>
      </c>
    </row>
    <row r="2350">
      <c r="B2350" s="1" t="inlineStr">
        <is>
          <t>credible</t>
        </is>
      </c>
      <c r="C2350" s="7">
        <f>"adj. 可靠的，可信的"</f>
        <v/>
      </c>
      <c r="G2350" s="18">
        <f>HYPERLINK("D:\python\英语学习\voices\"&amp;B2350&amp;"_1.mp3","BrE")</f>
        <v/>
      </c>
      <c r="H2350" s="18">
        <f>HYPERLINK("D:\python\英语学习\voices\"&amp;B2350&amp;"_2.mp3","AmE")</f>
        <v/>
      </c>
      <c r="I2350" s="18">
        <f>HYPERLINK("http://dict.youdao.com/w/"&amp;B2350,"有道")</f>
        <v/>
      </c>
    </row>
    <row r="2351">
      <c r="B2351" s="1" t="inlineStr">
        <is>
          <t>prominent</t>
        </is>
      </c>
      <c r="C2351" s="7">
        <f>"adj. 突出的，显著的；杰出的；卓越的"</f>
        <v/>
      </c>
      <c r="G2351" s="18">
        <f>HYPERLINK("D:\python\英语学习\voices\"&amp;B2351&amp;"_1.mp3","BrE")</f>
        <v/>
      </c>
      <c r="H2351" s="18">
        <f>HYPERLINK("D:\python\英语学习\voices\"&amp;B2351&amp;"_2.mp3","AmE")</f>
        <v/>
      </c>
      <c r="I2351" s="18">
        <f>HYPERLINK("http://dict.youdao.com/w/"&amp;B2351,"有道")</f>
        <v/>
      </c>
    </row>
    <row customHeight="1" ht="28.5" r="2352">
      <c r="B2352" s="1" t="inlineStr">
        <is>
          <t>brazen</t>
        </is>
      </c>
      <c r="C2352" s="7">
        <f>"adj. 厚颜无耻的；无所顾忌的；黄铜制的"&amp;CHAR(10)&amp;"vt. 使变得无耻；厚脸皮地做"</f>
        <v/>
      </c>
      <c r="G2352" s="18">
        <f>HYPERLINK("D:\python\英语学习\voices\"&amp;B2352&amp;"_1.mp3","BrE")</f>
        <v/>
      </c>
      <c r="H2352" s="18">
        <f>HYPERLINK("D:\python\英语学习\voices\"&amp;B2352&amp;"_2.mp3","AmE")</f>
        <v/>
      </c>
      <c r="I2352" s="18">
        <f>HYPERLINK("http://dict.youdao.com/w/"&amp;B2352,"有道")</f>
        <v/>
      </c>
    </row>
    <row customHeight="1" ht="57" r="2353">
      <c r="B2353" s="1" t="inlineStr">
        <is>
          <t>fable</t>
        </is>
      </c>
      <c r="C2353" s="7">
        <f>"n. 寓言；无稽之谈"&amp;CHAR(10)&amp;"vi. 编寓言；虚构"&amp;CHAR(10)&amp;"vt. 煞有介事地讲述；虚构"&amp;CHAR(10)&amp;"n. (Fable)人名；(法)法布勒；(英)费布尔"</f>
        <v/>
      </c>
      <c r="G2353" s="18">
        <f>HYPERLINK("D:\python\英语学习\voices\"&amp;B2353&amp;"_1.mp3","BrE")</f>
        <v/>
      </c>
      <c r="H2353" s="18">
        <f>HYPERLINK("D:\python\英语学习\voices\"&amp;B2353&amp;"_2.mp3","AmE")</f>
        <v/>
      </c>
      <c r="I2353" s="18">
        <f>HYPERLINK("http://dict.youdao.com/w/"&amp;B2353,"有道")</f>
        <v/>
      </c>
    </row>
    <row r="2354">
      <c r="B2354" s="1" t="inlineStr">
        <is>
          <t>tortuous</t>
        </is>
      </c>
      <c r="C2354" s="7">
        <f>"adj. 扭曲的，弯曲的；啰嗦的"</f>
        <v/>
      </c>
      <c r="G2354" s="18">
        <f>HYPERLINK("D:\python\英语学习\voices\"&amp;B2354&amp;"_1.mp3","BrE")</f>
        <v/>
      </c>
      <c r="H2354" s="18">
        <f>HYPERLINK("D:\python\英语学习\voices\"&amp;B2354&amp;"_2.mp3","AmE")</f>
        <v/>
      </c>
      <c r="I2354" s="18">
        <f>HYPERLINK("http://dict.youdao.com/w/"&amp;B2354,"有道")</f>
        <v/>
      </c>
    </row>
    <row r="2355">
      <c r="B2355" s="1" t="inlineStr">
        <is>
          <t>coalition</t>
        </is>
      </c>
      <c r="C2355" s="7">
        <f>"n. 联合；结合，合并"</f>
        <v/>
      </c>
      <c r="G2355" s="18">
        <f>HYPERLINK("D:\python\英语学习\voices\"&amp;B2355&amp;"_1.mp3","BrE")</f>
        <v/>
      </c>
      <c r="H2355" s="18">
        <f>HYPERLINK("D:\python\英语学习\voices\"&amp;B2355&amp;"_2.mp3","AmE")</f>
        <v/>
      </c>
      <c r="I2355" s="18">
        <f>HYPERLINK("http://dict.youdao.com/w/"&amp;B2355,"有道")</f>
        <v/>
      </c>
    </row>
    <row customHeight="1" ht="28.5" r="2356">
      <c r="B2356" s="1" t="inlineStr">
        <is>
          <t>marvelous</t>
        </is>
      </c>
      <c r="C2356" s="7">
        <f>"adj. 了不起的；非凡的；令人惊异的；不平常的"</f>
        <v/>
      </c>
      <c r="G2356" s="18">
        <f>HYPERLINK("D:\python\英语学习\voices\"&amp;B2356&amp;"_1.mp3","BrE")</f>
        <v/>
      </c>
      <c r="H2356" s="18">
        <f>HYPERLINK("D:\python\英语学习\voices\"&amp;B2356&amp;"_2.mp3","AmE")</f>
        <v/>
      </c>
      <c r="I2356" s="18">
        <f>HYPERLINK("http://dict.youdao.com/w/"&amp;B2356,"有道")</f>
        <v/>
      </c>
    </row>
    <row customHeight="1" ht="42.75" r="2357">
      <c r="B2357" s="1" t="inlineStr">
        <is>
          <t>disinterested</t>
        </is>
      </c>
      <c r="C2357" s="7">
        <f>"adj. 无私的；公正的；冷漠的；廉洁的"&amp;CHAR(10)&amp;"v. 使不再有利害关系；使无兴趣（disinterest的过去分词）"</f>
        <v/>
      </c>
      <c r="G2357" s="18">
        <f>HYPERLINK("D:\python\英语学习\voices\"&amp;B2357&amp;"_1.mp3","BrE")</f>
        <v/>
      </c>
      <c r="H2357" s="18">
        <f>HYPERLINK("D:\python\英语学习\voices\"&amp;B2357&amp;"_2.mp3","AmE")</f>
        <v/>
      </c>
      <c r="I2357" s="18">
        <f>HYPERLINK("http://dict.youdao.com/w/"&amp;B2357,"有道")</f>
        <v/>
      </c>
    </row>
    <row r="2358">
      <c r="B2358" s="1" t="inlineStr">
        <is>
          <t>kerosene</t>
        </is>
      </c>
      <c r="C2358" s="7">
        <f>"n. 煤油，火油"</f>
        <v/>
      </c>
      <c r="G2358" s="18">
        <f>HYPERLINK("D:\python\英语学习\voices\"&amp;B2358&amp;"_1.mp3","BrE")</f>
        <v/>
      </c>
      <c r="H2358" s="18">
        <f>HYPERLINK("D:\python\英语学习\voices\"&amp;B2358&amp;"_2.mp3","AmE")</f>
        <v/>
      </c>
      <c r="I2358" s="18">
        <f>HYPERLINK("http://dict.youdao.com/w/"&amp;B2358,"有道")</f>
        <v/>
      </c>
    </row>
    <row customHeight="1" ht="28.5" r="2359">
      <c r="B2359" s="1" t="inlineStr">
        <is>
          <t>zealous</t>
        </is>
      </c>
      <c r="C2359" s="7">
        <f>"adj. 热心的，热情的，积极的"&amp;CHAR(10)&amp;"n. (Zealous)人名；(英)泽勒斯"</f>
        <v/>
      </c>
      <c r="G2359" s="18">
        <f>HYPERLINK("D:\python\英语学习\voices\"&amp;B2359&amp;"_1.mp3","BrE")</f>
        <v/>
      </c>
      <c r="H2359" s="18">
        <f>HYPERLINK("D:\python\英语学习\voices\"&amp;B2359&amp;"_2.mp3","AmE")</f>
        <v/>
      </c>
      <c r="I2359" s="18">
        <f>HYPERLINK("http://dict.youdao.com/w/"&amp;B2359,"有道")</f>
        <v/>
      </c>
    </row>
    <row r="2360">
      <c r="B2360" s="1" t="inlineStr">
        <is>
          <t>indelible</t>
        </is>
      </c>
      <c r="C2360" s="7">
        <f>"adj. 难忘的；擦不掉的"</f>
        <v/>
      </c>
      <c r="G2360" s="18">
        <f>HYPERLINK("D:\python\英语学习\voices\"&amp;B2360&amp;"_1.mp3","BrE")</f>
        <v/>
      </c>
      <c r="H2360" s="18">
        <f>HYPERLINK("D:\python\英语学习\voices\"&amp;B2360&amp;"_2.mp3","AmE")</f>
        <v/>
      </c>
      <c r="I2360" s="18">
        <f>HYPERLINK("http://dict.youdao.com/w/"&amp;B2360,"有道")</f>
        <v/>
      </c>
    </row>
    <row r="2361">
      <c r="B2361" s="1" t="inlineStr">
        <is>
          <t>diabetes</t>
        </is>
      </c>
      <c r="C2361" s="7">
        <f>"n. 糖尿病；多尿症"</f>
        <v/>
      </c>
      <c r="G2361" s="18">
        <f>HYPERLINK("D:\python\英语学习\voices\"&amp;B2361&amp;"_1.mp3","BrE")</f>
        <v/>
      </c>
      <c r="H2361" s="18">
        <f>HYPERLINK("D:\python\英语学习\voices\"&amp;B2361&amp;"_2.mp3","AmE")</f>
        <v/>
      </c>
      <c r="I2361" s="18">
        <f>HYPERLINK("http://dict.youdao.com/w/"&amp;B2361,"有道")</f>
        <v/>
      </c>
    </row>
    <row r="2362">
      <c r="B2362" s="1" t="inlineStr">
        <is>
          <t>cessation</t>
        </is>
      </c>
      <c r="C2362" s="7">
        <f>"n. 停止；中止；中断"</f>
        <v/>
      </c>
      <c r="G2362" s="18">
        <f>HYPERLINK("D:\python\英语学习\voices\"&amp;B2362&amp;"_1.mp3","BrE")</f>
        <v/>
      </c>
      <c r="H2362" s="18">
        <f>HYPERLINK("D:\python\英语学习\voices\"&amp;B2362&amp;"_2.mp3","AmE")</f>
        <v/>
      </c>
      <c r="I2362" s="18">
        <f>HYPERLINK("http://dict.youdao.com/w/"&amp;B2362,"有道")</f>
        <v/>
      </c>
    </row>
    <row customHeight="1" ht="42.75" r="2363">
      <c r="B2363" s="1" t="inlineStr">
        <is>
          <t>posture</t>
        </is>
      </c>
      <c r="C2363" s="7">
        <f>"n. 姿势；态度；情形"&amp;CHAR(10)&amp;"vi. 摆姿势"&amp;CHAR(10)&amp;"vt. 作…的姿势"</f>
        <v/>
      </c>
      <c r="G2363" s="18">
        <f>HYPERLINK("D:\python\英语学习\voices\"&amp;B2363&amp;"_1.mp3","BrE")</f>
        <v/>
      </c>
      <c r="H2363" s="18">
        <f>HYPERLINK("D:\python\英语学习\voices\"&amp;B2363&amp;"_2.mp3","AmE")</f>
        <v/>
      </c>
      <c r="I2363" s="18">
        <f>HYPERLINK("http://dict.youdao.com/w/"&amp;B2363,"有道")</f>
        <v/>
      </c>
    </row>
    <row r="2364">
      <c r="B2364" s="1" t="inlineStr">
        <is>
          <t>nourish</t>
        </is>
      </c>
      <c r="C2364" s="7">
        <f>"vt. 滋养；怀有；使健壮"</f>
        <v/>
      </c>
      <c r="G2364" s="18">
        <f>HYPERLINK("D:\python\英语学习\voices\"&amp;B2364&amp;"_1.mp3","BrE")</f>
        <v/>
      </c>
      <c r="H2364" s="18">
        <f>HYPERLINK("D:\python\英语学习\voices\"&amp;B2364&amp;"_2.mp3","AmE")</f>
        <v/>
      </c>
      <c r="I2364" s="18">
        <f>HYPERLINK("http://dict.youdao.com/w/"&amp;B2364,"有道")</f>
        <v/>
      </c>
    </row>
    <row customHeight="1" ht="71.25" r="2365">
      <c r="A2365" t="inlineStr">
        <is>
          <t>practice</t>
        </is>
      </c>
      <c r="B2365" s="1" t="inlineStr">
        <is>
          <t>triumphant</t>
        </is>
      </c>
      <c r="C2365" s="7">
        <f>"adj. 成功的；得意洋洋的；狂欢的"</f>
        <v/>
      </c>
      <c r="G2365" s="18">
        <f>HYPERLINK("D:\python\英语学习\voices\"&amp;B2365&amp;"_1.mp3","BrE")</f>
        <v/>
      </c>
      <c r="H2365" s="18">
        <f>HYPERLINK("D:\python\英语学习\voices\"&amp;B2365&amp;"_2.mp3","AmE")</f>
        <v/>
      </c>
      <c r="I2365" s="18">
        <f>HYPERLINK("http://dict.youdao.com/w/"&amp;B2365,"有道")</f>
        <v/>
      </c>
    </row>
    <row customHeight="1" ht="28.5" r="2366">
      <c r="B2366" s="1" t="inlineStr">
        <is>
          <t>crystallize</t>
        </is>
      </c>
      <c r="C2366" s="7">
        <f>"vt. 使结晶；明确；使具体化；做成蜜饯"&amp;CHAR(10)&amp;"vi. 结晶，形成结晶；明确；具体化"</f>
        <v/>
      </c>
      <c r="G2366" s="18">
        <f>HYPERLINK("D:\python\英语学习\voices\"&amp;B2366&amp;"_1.mp3","BrE")</f>
        <v/>
      </c>
      <c r="H2366" s="18">
        <f>HYPERLINK("D:\python\英语学习\voices\"&amp;B2366&amp;"_2.mp3","AmE")</f>
        <v/>
      </c>
      <c r="I2366" s="18">
        <f>HYPERLINK("http://dict.youdao.com/w/"&amp;B2366,"有道")</f>
        <v/>
      </c>
    </row>
    <row r="2367">
      <c r="B2367" s="1" t="inlineStr">
        <is>
          <t>crystalline</t>
        </is>
      </c>
      <c r="C2367" s="7">
        <f>"adj. 透明的；水晶般的；水晶制的"</f>
        <v/>
      </c>
      <c r="G2367" s="18">
        <f>HYPERLINK("D:\python\英语学习\voices\"&amp;B2367&amp;"_1.mp3","BrE")</f>
        <v/>
      </c>
      <c r="H2367" s="18">
        <f>HYPERLINK("D:\python\英语学习\voices\"&amp;B2367&amp;"_2.mp3","AmE")</f>
        <v/>
      </c>
      <c r="I2367" s="18">
        <f>HYPERLINK("http://dict.youdao.com/w/"&amp;B2367,"有道")</f>
        <v/>
      </c>
    </row>
    <row customHeight="1" ht="28.5" r="2368">
      <c r="A2368" s="8" t="inlineStr">
        <is>
          <t>practice</t>
        </is>
      </c>
      <c r="B2368" s="1" t="inlineStr">
        <is>
          <t>ubiquitous</t>
        </is>
      </c>
      <c r="C2368" s="7">
        <f>"adj. 普遍存在的；无所不在的"</f>
        <v/>
      </c>
      <c r="G2368" s="18">
        <f>HYPERLINK("D:\python\英语学习\voices\"&amp;B2368&amp;"_1.mp3","BrE")</f>
        <v/>
      </c>
      <c r="H2368" s="18">
        <f>HYPERLINK("D:\python\英语学习\voices\"&amp;B2368&amp;"_2.mp3","AmE")</f>
        <v/>
      </c>
      <c r="I2368" s="18">
        <f>HYPERLINK("http://dict.youdao.com/w/"&amp;B2368,"有道")</f>
        <v/>
      </c>
    </row>
    <row r="2369">
      <c r="B2369" s="1" t="inlineStr">
        <is>
          <t>lengthy</t>
        </is>
      </c>
      <c r="C2369" s="7">
        <f>"adj. 漫长的，冗长的；啰唆的"</f>
        <v/>
      </c>
      <c r="G2369" s="18">
        <f>HYPERLINK("D:\python\英语学习\voices\"&amp;B2369&amp;"_1.mp3","BrE")</f>
        <v/>
      </c>
      <c r="H2369" s="18">
        <f>HYPERLINK("D:\python\英语学习\voices\"&amp;B2369&amp;"_2.mp3","AmE")</f>
        <v/>
      </c>
      <c r="I2369" s="18">
        <f>HYPERLINK("http://dict.youdao.com/w/"&amp;B2369,"有道")</f>
        <v/>
      </c>
    </row>
    <row customHeight="1" ht="42.75" r="2370">
      <c r="B2370" s="1" t="inlineStr">
        <is>
          <t>impassioned</t>
        </is>
      </c>
      <c r="C2370" s="7">
        <f>"adj. 充满激情的；感激的"&amp;CHAR(10)&amp;"v. 使充满激情（impassion的过去式和过去分词）"</f>
        <v/>
      </c>
      <c r="G2370" s="18">
        <f>HYPERLINK("D:\python\英语学习\voices\"&amp;B2370&amp;"_1.mp3","BrE")</f>
        <v/>
      </c>
      <c r="H2370" s="18">
        <f>HYPERLINK("D:\python\英语学习\voices\"&amp;B2370&amp;"_2.mp3","AmE")</f>
        <v/>
      </c>
      <c r="I2370" s="18">
        <f>HYPERLINK("http://dict.youdao.com/w/"&amp;B2370,"有道")</f>
        <v/>
      </c>
    </row>
    <row customHeight="1" ht="28.5" r="2371">
      <c r="B2371" s="1" t="inlineStr">
        <is>
          <t>noose</t>
        </is>
      </c>
      <c r="C2371" s="7">
        <f>"n. 套索；束缚；绞刑"&amp;CHAR(10)&amp;"vt. 用套索捉；使落入圈套"</f>
        <v/>
      </c>
      <c r="G2371" s="18">
        <f>HYPERLINK("D:\python\英语学习\voices\"&amp;B2371&amp;"_1.mp3","BrE")</f>
        <v/>
      </c>
      <c r="H2371" s="18">
        <f>HYPERLINK("D:\python\英语学习\voices\"&amp;B2371&amp;"_2.mp3","AmE")</f>
        <v/>
      </c>
      <c r="I2371" s="18">
        <f>HYPERLINK("http://dict.youdao.com/w/"&amp;B2371,"有道")</f>
        <v/>
      </c>
    </row>
    <row r="2372">
      <c r="A2372" s="1" t="inlineStr">
        <is>
          <t>unnecessary</t>
        </is>
      </c>
      <c r="B2372" s="1" t="inlineStr">
        <is>
          <t>flamingo</t>
        </is>
      </c>
      <c r="C2372" s="7">
        <f>"n. [鸟] 火烈鸟"</f>
        <v/>
      </c>
      <c r="G2372" s="18">
        <f>HYPERLINK("D:\python\英语学习\voices\"&amp;B2372&amp;"_1.mp3","BrE")</f>
        <v/>
      </c>
      <c r="H2372" s="18">
        <f>HYPERLINK("D:\python\英语学习\voices\"&amp;B2372&amp;"_2.mp3","AmE")</f>
        <v/>
      </c>
      <c r="I2372" s="18">
        <f>HYPERLINK("http://dict.youdao.com/w/"&amp;B2372,"有道")</f>
        <v/>
      </c>
    </row>
    <row r="2373">
      <c r="B2373" s="1" t="inlineStr">
        <is>
          <t>erratically</t>
        </is>
      </c>
      <c r="C2373" s="7">
        <f>"adv. 不定地；不规律地"</f>
        <v/>
      </c>
      <c r="G2373" s="18">
        <f>HYPERLINK("D:\python\英语学习\voices\"&amp;B2373&amp;"_1.mp3","BrE")</f>
        <v/>
      </c>
      <c r="H2373" s="18">
        <f>HYPERLINK("D:\python\英语学习\voices\"&amp;B2373&amp;"_2.mp3","AmE")</f>
        <v/>
      </c>
      <c r="I2373" s="18">
        <f>HYPERLINK("http://dict.youdao.com/w/"&amp;B2373,"有道")</f>
        <v/>
      </c>
    </row>
    <row r="2374">
      <c r="A2374" s="1" t="inlineStr">
        <is>
          <t>practice</t>
        </is>
      </c>
      <c r="B2374" s="1" t="inlineStr">
        <is>
          <t>vertex</t>
        </is>
      </c>
      <c r="C2374" s="7">
        <f>"n. 顶点；[昆] 头顶；[天] 天顶"</f>
        <v/>
      </c>
      <c r="G2374" s="18">
        <f>HYPERLINK("D:\python\英语学习\voices\"&amp;B2374&amp;"_1.mp3","BrE")</f>
        <v/>
      </c>
      <c r="H2374" s="18">
        <f>HYPERLINK("D:\python\英语学习\voices\"&amp;B2374&amp;"_2.mp3","AmE")</f>
        <v/>
      </c>
      <c r="I2374" s="18">
        <f>HYPERLINK("http://dict.youdao.com/w/"&amp;B2374,"有道")</f>
        <v/>
      </c>
    </row>
    <row customHeight="1" ht="28.5" r="2375">
      <c r="B2375" s="1" t="inlineStr">
        <is>
          <t>fete</t>
        </is>
      </c>
      <c r="C2375" s="7">
        <f>"n. 祭祀；庆祝；节日；游乐会"&amp;CHAR(10)&amp;"vt. 宴请；招待"</f>
        <v/>
      </c>
      <c r="G2375" s="18">
        <f>HYPERLINK("D:\python\英语学习\voices\"&amp;B2375&amp;"_1.mp3","BrE")</f>
        <v/>
      </c>
      <c r="H2375" s="18">
        <f>HYPERLINK("D:\python\英语学习\voices\"&amp;B2375&amp;"_2.mp3","AmE")</f>
        <v/>
      </c>
      <c r="I2375" s="18">
        <f>HYPERLINK("http://dict.youdao.com/w/"&amp;B2375,"有道")</f>
        <v/>
      </c>
    </row>
    <row r="2376">
      <c r="B2376" s="1" t="inlineStr">
        <is>
          <t>homage</t>
        </is>
      </c>
      <c r="C2376" s="7">
        <f>"n. 敬意；尊敬；效忠"</f>
        <v/>
      </c>
      <c r="G2376" s="18">
        <f>HYPERLINK("D:\python\英语学习\voices\"&amp;B2376&amp;"_1.mp3","BrE")</f>
        <v/>
      </c>
      <c r="H2376" s="18">
        <f>HYPERLINK("D:\python\英语学习\voices\"&amp;B2376&amp;"_2.mp3","AmE")</f>
        <v/>
      </c>
      <c r="I2376" s="18">
        <f>HYPERLINK("http://dict.youdao.com/w/"&amp;B2376,"有道")</f>
        <v/>
      </c>
    </row>
    <row customHeight="1" ht="28.5" r="2377">
      <c r="B2377" s="1" t="inlineStr">
        <is>
          <t>idem</t>
        </is>
      </c>
      <c r="C2377" s="7">
        <f>"pron. 同上，同前"&amp;CHAR(10)&amp;"adj. 同上的，同前的"</f>
        <v/>
      </c>
      <c r="G2377" s="18">
        <f>HYPERLINK("D:\python\英语学习\voices\"&amp;B2377&amp;"_1.mp3","BrE")</f>
        <v/>
      </c>
      <c r="H2377" s="18">
        <f>HYPERLINK("D:\python\英语学习\voices\"&amp;B2377&amp;"_2.mp3","AmE")</f>
        <v/>
      </c>
      <c r="I2377" s="18">
        <f>HYPERLINK("http://dict.youdao.com/w/"&amp;B2377,"有道")</f>
        <v/>
      </c>
    </row>
    <row r="2378">
      <c r="B2378" s="1" t="inlineStr">
        <is>
          <t>inadvertently</t>
        </is>
      </c>
      <c r="C2378" s="7">
        <f>"adv. 非故意地，无心地"</f>
        <v/>
      </c>
      <c r="G2378" s="18">
        <f>HYPERLINK("D:\python\英语学习\voices\"&amp;B2378&amp;"_1.mp3","BrE")</f>
        <v/>
      </c>
      <c r="H2378" s="18">
        <f>HYPERLINK("D:\python\英语学习\voices\"&amp;B2378&amp;"_2.mp3","AmE")</f>
        <v/>
      </c>
      <c r="I2378" s="18">
        <f>HYPERLINK("http://dict.youdao.com/w/"&amp;B2378,"有道")</f>
        <v/>
      </c>
    </row>
    <row r="2379">
      <c r="B2379" s="1" t="inlineStr">
        <is>
          <t>judical</t>
        </is>
      </c>
      <c r="C2379" s="7">
        <f>"adj. 裁判的"</f>
        <v/>
      </c>
      <c r="G2379" s="18">
        <f>HYPERLINK("D:\python\英语学习\voices\"&amp;B2379&amp;"_1.mp3","BrE")</f>
        <v/>
      </c>
      <c r="H2379" s="18">
        <f>HYPERLINK("D:\python\英语学习\voices\"&amp;B2379&amp;"_2.mp3","AmE")</f>
        <v/>
      </c>
      <c r="I2379" s="18">
        <f>HYPERLINK("http://dict.youdao.com/w/"&amp;B2379,"有道")</f>
        <v/>
      </c>
    </row>
    <row r="2380">
      <c r="B2380" s="1" t="inlineStr">
        <is>
          <t>misanthropy</t>
        </is>
      </c>
      <c r="C2380" s="7">
        <f>"n. 厌恶人类；厌世，愤世嫉俗"</f>
        <v/>
      </c>
      <c r="G2380" s="18">
        <f>HYPERLINK("D:\python\英语学习\voices\"&amp;B2380&amp;"_1.mp3","BrE")</f>
        <v/>
      </c>
      <c r="H2380" s="18">
        <f>HYPERLINK("D:\python\英语学习\voices\"&amp;B2380&amp;"_2.mp3","AmE")</f>
        <v/>
      </c>
      <c r="I2380" s="18">
        <f>HYPERLINK("http://dict.youdao.com/w/"&amp;B2380,"有道")</f>
        <v/>
      </c>
    </row>
    <row customHeight="1" ht="28.5" r="2381">
      <c r="A2381" s="1" t="inlineStr">
        <is>
          <t>unnecessary</t>
        </is>
      </c>
      <c r="B2381" s="1" t="inlineStr">
        <is>
          <t>parlour</t>
        </is>
      </c>
      <c r="C2381" s="7">
        <f>"n. 客厅；会客室；雅座"&amp;CHAR(10)&amp;"n. (Parlour)人名；(英)帕勒"</f>
        <v/>
      </c>
      <c r="G2381" s="18">
        <f>HYPERLINK("D:\python\英语学习\voices\"&amp;B2381&amp;"_1.mp3","BrE")</f>
        <v/>
      </c>
      <c r="H2381" s="18">
        <f>HYPERLINK("D:\python\英语学习\voices\"&amp;B2381&amp;"_2.mp3","AmE")</f>
        <v/>
      </c>
      <c r="I2381" s="18">
        <f>HYPERLINK("http://dict.youdao.com/w/"&amp;B2381,"有道")</f>
        <v/>
      </c>
    </row>
    <row customHeight="1" ht="42.75" r="2382">
      <c r="B2382" s="1" t="inlineStr">
        <is>
          <t>shattered</t>
        </is>
      </c>
      <c r="C2382" s="7">
        <f>"adj. 破碎的；极度疲劳的"&amp;CHAR(10)&amp;"v. 打碎；削弱；使心烦意乱（shatter的过去分词）"</f>
        <v/>
      </c>
      <c r="G2382" s="18">
        <f>HYPERLINK("D:\python\英语学习\voices\"&amp;B2382&amp;"_1.mp3","BrE")</f>
        <v/>
      </c>
      <c r="H2382" s="18">
        <f>HYPERLINK("D:\python\英语学习\voices\"&amp;B2382&amp;"_2.mp3","AmE")</f>
        <v/>
      </c>
      <c r="I2382" s="18">
        <f>HYPERLINK("http://dict.youdao.com/w/"&amp;B2382,"有道")</f>
        <v/>
      </c>
    </row>
    <row customHeight="1" ht="28.5" r="2383">
      <c r="A2383" s="1" t="inlineStr">
        <is>
          <t>unnecessary</t>
        </is>
      </c>
      <c r="B2383" s="1" t="inlineStr">
        <is>
          <t>sphinx</t>
        </is>
      </c>
      <c r="C2383" s="7">
        <f>"n. （古埃及）狮身人面像；难于理解的人；天蛾"</f>
        <v/>
      </c>
      <c r="G2383" s="18">
        <f>HYPERLINK("D:\python\英语学习\voices\"&amp;B2383&amp;"_1.mp3","BrE")</f>
        <v/>
      </c>
      <c r="H2383" s="18">
        <f>HYPERLINK("D:\python\英语学习\voices\"&amp;B2383&amp;"_2.mp3","AmE")</f>
        <v/>
      </c>
      <c r="I2383" s="18">
        <f>HYPERLINK("http://dict.youdao.com/w/"&amp;B2383,"有道")</f>
        <v/>
      </c>
    </row>
    <row r="2384">
      <c r="A2384" s="1" t="inlineStr">
        <is>
          <t>unnecessary</t>
        </is>
      </c>
      <c r="B2384" s="1" t="inlineStr">
        <is>
          <t>synonymous</t>
        </is>
      </c>
      <c r="C2384" s="7">
        <f>"adj. 同义的；同义词的；同义突变的"</f>
        <v/>
      </c>
      <c r="G2384" s="18">
        <f>HYPERLINK("D:\python\英语学习\voices\"&amp;B2384&amp;"_1.mp3","BrE")</f>
        <v/>
      </c>
      <c r="H2384" s="18">
        <f>HYPERLINK("D:\python\英语学习\voices\"&amp;B2384&amp;"_2.mp3","AmE")</f>
        <v/>
      </c>
      <c r="I2384" s="18">
        <f>HYPERLINK("http://dict.youdao.com/w/"&amp;B2384,"有道")</f>
        <v/>
      </c>
    </row>
    <row customHeight="1" ht="71.25" r="2385">
      <c r="B2385" s="1" t="inlineStr">
        <is>
          <t>sole</t>
        </is>
      </c>
      <c r="C2385" s="7">
        <f>"n. 鞋底；脚底；基础；鳎目鱼"&amp;CHAR(10)&amp;"adj. 唯一的；单独的；仅有的"&amp;CHAR(10)&amp;"vt. 触底；上鞋底"&amp;CHAR(10)&amp;"n. (Sole)人名；(意、西、芬、塞、罗、南非)索莱"</f>
        <v/>
      </c>
      <c r="G2385" s="18">
        <f>HYPERLINK("D:\python\英语学习\voices\"&amp;B2385&amp;"_1.mp3","BrE")</f>
        <v/>
      </c>
      <c r="H2385" s="18">
        <f>HYPERLINK("D:\python\英语学习\voices\"&amp;B2385&amp;"_2.mp3","AmE")</f>
        <v/>
      </c>
      <c r="I2385" s="18">
        <f>HYPERLINK("http://dict.youdao.com/w/"&amp;B2385,"有道")</f>
        <v/>
      </c>
    </row>
    <row r="2386">
      <c r="B2386" s="1" t="inlineStr">
        <is>
          <t>sonorous</t>
        </is>
      </c>
      <c r="C2386" s="7">
        <f>"adj. 响亮的；作响的；能发出响亮声音的"</f>
        <v/>
      </c>
      <c r="G2386" s="18">
        <f>HYPERLINK("D:\python\英语学习\voices\"&amp;B2386&amp;"_1.mp3","BrE")</f>
        <v/>
      </c>
      <c r="H2386" s="18">
        <f>HYPERLINK("D:\python\英语学习\voices\"&amp;B2386&amp;"_2.mp3","AmE")</f>
        <v/>
      </c>
      <c r="I2386" s="18">
        <f>HYPERLINK("http://dict.youdao.com/w/"&amp;B2386,"有道")</f>
        <v/>
      </c>
    </row>
    <row customHeight="1" ht="28.5" r="2387">
      <c r="B2387" s="1" t="inlineStr">
        <is>
          <t>sly</t>
        </is>
      </c>
      <c r="C2387" s="7">
        <f>"adj. 狡猾的；淘气的；诡密的"&amp;CHAR(10)&amp;"n. (Sly)人名；(英)斯莱"</f>
        <v/>
      </c>
      <c r="G2387" s="18">
        <f>HYPERLINK("D:\python\英语学习\voices\"&amp;B2387&amp;"_1.mp3","BrE")</f>
        <v/>
      </c>
      <c r="H2387" s="18">
        <f>HYPERLINK("D:\python\英语学习\voices\"&amp;B2387&amp;"_2.mp3","AmE")</f>
        <v/>
      </c>
      <c r="I2387" s="18">
        <f>HYPERLINK("http://dict.youdao.com/w/"&amp;B2387,"有道")</f>
        <v/>
      </c>
    </row>
    <row customHeight="1" ht="42.75" r="2388">
      <c r="A2388" s="1" t="inlineStr">
        <is>
          <t>practice</t>
        </is>
      </c>
      <c r="B2388" s="1" t="inlineStr">
        <is>
          <t>veto</t>
        </is>
      </c>
      <c r="C2388" s="7">
        <f>"n. 否决权"&amp;CHAR(10)&amp;"vt. 否决；禁止"&amp;CHAR(10)&amp;"vi. 否决；禁止"</f>
        <v/>
      </c>
      <c r="G2388" s="18">
        <f>HYPERLINK("D:\python\英语学习\voices\"&amp;B2388&amp;"_1.mp3","BrE")</f>
        <v/>
      </c>
      <c r="H2388" s="18">
        <f>HYPERLINK("D:\python\英语学习\voices\"&amp;B2388&amp;"_2.mp3","AmE")</f>
        <v/>
      </c>
      <c r="I2388" s="18">
        <f>HYPERLINK("http://dict.youdao.com/w/"&amp;B2388,"有道")</f>
        <v/>
      </c>
    </row>
    <row customHeight="1" ht="42.75" r="2389">
      <c r="B2389" s="1" t="inlineStr">
        <is>
          <t>concave</t>
        </is>
      </c>
      <c r="C2389" s="7">
        <f>"adj. 凹的，凹面的"&amp;CHAR(10)&amp;"n. 凹面"&amp;CHAR(10)&amp;"v. 使变凹形"</f>
        <v/>
      </c>
      <c r="G2389" s="18">
        <f>HYPERLINK("D:\python\英语学习\voices\"&amp;B2389&amp;"_1.mp3","BrE")</f>
        <v/>
      </c>
      <c r="H2389" s="18">
        <f>HYPERLINK("D:\python\英语学习\voices\"&amp;B2389&amp;"_2.mp3","AmE")</f>
        <v/>
      </c>
      <c r="I2389" s="18">
        <f>HYPERLINK("http://dict.youdao.com/w/"&amp;B2389,"有道")</f>
        <v/>
      </c>
    </row>
    <row customHeight="1" ht="42.75" r="2390">
      <c r="A2390" s="1" t="inlineStr">
        <is>
          <t>practice</t>
        </is>
      </c>
      <c r="B2390" s="1" t="inlineStr">
        <is>
          <t>watershed</t>
        </is>
      </c>
      <c r="C2390" s="7">
        <f>"n. （美）流域；分水岭；集水区；转折点"&amp;CHAR(10)&amp;"adj. 标志转折点的"</f>
        <v/>
      </c>
      <c r="E2390" s="6" t="inlineStr">
        <is>
          <t>比喻</t>
        </is>
      </c>
      <c r="G2390" s="18">
        <f>HYPERLINK("D:\python\英语学习\voices\"&amp;B2390&amp;"_1.mp3","BrE")</f>
        <v/>
      </c>
      <c r="H2390" s="18">
        <f>HYPERLINK("D:\python\英语学习\voices\"&amp;B2390&amp;"_2.mp3","AmE")</f>
        <v/>
      </c>
      <c r="I2390" s="18">
        <f>HYPERLINK("http://dict.youdao.com/w/"&amp;B2390,"有道")</f>
        <v/>
      </c>
    </row>
    <row customHeight="1" ht="29.1" r="2391">
      <c r="A2391" s="8" t="inlineStr">
        <is>
          <t>practice</t>
        </is>
      </c>
      <c r="B2391" s="1" t="inlineStr">
        <is>
          <t>whereby</t>
        </is>
      </c>
      <c r="C2391" s="7">
        <f>"conj. 凭借；通过…；借以；与…一致"&amp;CHAR(10)&amp;"adv. 凭此；借以"</f>
        <v/>
      </c>
      <c r="G2391" s="18">
        <f>HYPERLINK("D:\python\英语学习\voices\"&amp;B2391&amp;"_1.mp3","BrE")</f>
        <v/>
      </c>
      <c r="H2391" s="18">
        <f>HYPERLINK("D:\python\英语学习\voices\"&amp;B2391&amp;"_2.mp3","AmE")</f>
        <v/>
      </c>
      <c r="I2391" s="18">
        <f>HYPERLINK("http://dict.youdao.com/w/"&amp;B2391,"有道")</f>
        <v/>
      </c>
    </row>
    <row customHeight="1" ht="42.75" r="2392">
      <c r="A2392" s="1" t="inlineStr">
        <is>
          <t>practice</t>
        </is>
      </c>
      <c r="B2392" s="1" t="inlineStr">
        <is>
          <t>whine</t>
        </is>
      </c>
      <c r="C2392" s="7">
        <f>"vi. 发牢骚；哭诉；嘎嘎响；发呜呜声"&amp;CHAR(10)&amp;"vt. 哀诉"&amp;CHAR(10)&amp;"n. 抱怨；牢骚；哀鸣"</f>
        <v/>
      </c>
      <c r="G2392" s="18">
        <f>HYPERLINK("D:\python\英语学习\voices\"&amp;B2392&amp;"_1.mp3","BrE")</f>
        <v/>
      </c>
      <c r="H2392" s="18">
        <f>HYPERLINK("D:\python\英语学习\voices\"&amp;B2392&amp;"_2.mp3","AmE")</f>
        <v/>
      </c>
      <c r="I2392" s="18">
        <f>HYPERLINK("http://dict.youdao.com/w/"&amp;B2392,"有道")</f>
        <v/>
      </c>
    </row>
    <row customHeight="1" ht="28.5" r="2393">
      <c r="B2393" s="1" t="inlineStr">
        <is>
          <t>amplify</t>
        </is>
      </c>
      <c r="C2393" s="7">
        <f>"vt. 放大，扩大；增强；详述"&amp;CHAR(10)&amp;"vi. 详述"</f>
        <v/>
      </c>
      <c r="E2393" t="inlineStr">
        <is>
          <t>放大(声音)</t>
        </is>
      </c>
      <c r="G2393" s="18">
        <f>HYPERLINK("D:\python\英语学习\voices\"&amp;B2393&amp;"_1.mp3","BrE")</f>
        <v/>
      </c>
      <c r="H2393" s="18">
        <f>HYPERLINK("D:\python\英语学习\voices\"&amp;B2393&amp;"_2.mp3","AmE")</f>
        <v/>
      </c>
      <c r="I2393" s="18">
        <f>HYPERLINK("http://dict.youdao.com/w/"&amp;B2393,"有道")</f>
        <v/>
      </c>
    </row>
    <row customHeight="1" ht="85.5" r="2394">
      <c r="B2394" s="1" t="inlineStr">
        <is>
          <t>gross</t>
        </is>
      </c>
      <c r="C2394" s="7">
        <f>"adj. 总共的；粗野的；恶劣的；显而易见的；恶心的"&amp;CHAR(10)&amp;"vt. 总共收入"&amp;CHAR(10)&amp;"n. 总额，总数"&amp;CHAR(10)&amp;"n. (Gross)人名；(英、法、德、意、葡、西、俄、芬、罗、捷、匈)格罗斯"</f>
        <v/>
      </c>
      <c r="E2394" s="6" t="inlineStr">
        <is>
          <t>注意发音 割肉丝
(informal)
令人不快的；令人恶心的；使人厌恶的very unpleasant
GDP-gross domestic product</t>
        </is>
      </c>
      <c r="G2394" s="18">
        <f>HYPERLINK("D:\python\英语学习\voices\"&amp;B2394&amp;"_1.mp3","BrE")</f>
        <v/>
      </c>
      <c r="H2394" s="18">
        <f>HYPERLINK("D:\python\英语学习\voices\"&amp;B2394&amp;"_2.mp3","AmE")</f>
        <v/>
      </c>
      <c r="I2394" s="18">
        <f>HYPERLINK("http://dict.youdao.com/w/"&amp;B2394,"有道")</f>
        <v/>
      </c>
    </row>
    <row customHeight="1" ht="28.5" r="2395">
      <c r="B2395" s="1" t="inlineStr">
        <is>
          <t>entitle</t>
        </is>
      </c>
      <c r="C2395" s="7">
        <f>"v. 给（某人）权利（或资格）；给……题名；称呼"</f>
        <v/>
      </c>
      <c r="G2395" s="18">
        <f>HYPERLINK("D:\python\英语学习\voices\"&amp;B2395&amp;"_1.mp3","BrE")</f>
        <v/>
      </c>
      <c r="H2395" s="18">
        <f>HYPERLINK("D:\python\英语学习\voices\"&amp;B2395&amp;"_2.mp3","AmE")</f>
        <v/>
      </c>
      <c r="I2395" s="18">
        <f>HYPERLINK("http://dict.youdao.com/w/"&amp;B2395,"有道")</f>
        <v/>
      </c>
    </row>
    <row r="2396">
      <c r="A2396" t="inlineStr">
        <is>
          <t>important</t>
        </is>
      </c>
      <c r="B2396" s="1" t="inlineStr">
        <is>
          <t>scarcity</t>
        </is>
      </c>
      <c r="C2396" s="7">
        <f>"n. 不足；缺乏"</f>
        <v/>
      </c>
      <c r="E2396" t="inlineStr">
        <is>
          <t>用得好很好</t>
        </is>
      </c>
      <c r="G2396" s="18">
        <f>HYPERLINK("D:\python\英语学习\voices\"&amp;B2396&amp;"_1.mp3","BrE")</f>
        <v/>
      </c>
      <c r="H2396" s="18">
        <f>HYPERLINK("D:\python\英语学习\voices\"&amp;B2396&amp;"_2.mp3","AmE")</f>
        <v/>
      </c>
      <c r="I2396" s="18">
        <f>HYPERLINK("http://dict.youdao.com/w/"&amp;B2396,"有道")</f>
        <v/>
      </c>
    </row>
    <row customHeight="1" ht="57" r="2397">
      <c r="B2397" s="1" t="inlineStr">
        <is>
          <t>cluster</t>
        </is>
      </c>
      <c r="C2397" s="7">
        <f>"n. 群；簇；丛；串"&amp;CHAR(10)&amp;"vi. 群聚；丛生"&amp;CHAR(10)&amp;"vt. 使聚集；聚集在某人的周围"&amp;CHAR(10)&amp;"n. (Cluster)人名；(英)克拉斯特"</f>
        <v/>
      </c>
      <c r="G2397" s="18">
        <f>HYPERLINK("D:\python\英语学习\voices\"&amp;B2397&amp;"_1.mp3","BrE")</f>
        <v/>
      </c>
      <c r="H2397" s="18">
        <f>HYPERLINK("D:\python\英语学习\voices\"&amp;B2397&amp;"_2.mp3","AmE")</f>
        <v/>
      </c>
      <c r="I2397" s="18">
        <f>HYPERLINK("http://dict.youdao.com/w/"&amp;B2397,"有道")</f>
        <v/>
      </c>
    </row>
    <row customHeight="1" ht="28.5" r="2398">
      <c r="B2398" s="1" t="inlineStr">
        <is>
          <t>multinomial</t>
        </is>
      </c>
      <c r="C2398" s="7">
        <f>"adj. 多项的"&amp;CHAR(10)&amp;"n. 多项式"</f>
        <v/>
      </c>
      <c r="G2398" s="18">
        <f>HYPERLINK("D:\python\英语学习\voices\"&amp;B2398&amp;"_1.mp3","BrE")</f>
        <v/>
      </c>
      <c r="H2398" s="18">
        <f>HYPERLINK("D:\python\英语学习\voices\"&amp;B2398&amp;"_2.mp3","AmE")</f>
        <v/>
      </c>
      <c r="I2398" s="18">
        <f>HYPERLINK("http://dict.youdao.com/w/"&amp;B2398,"有道")</f>
        <v/>
      </c>
    </row>
    <row customHeight="1" ht="42.75" r="2399">
      <c r="B2399" s="1" t="inlineStr">
        <is>
          <t>grudge</t>
        </is>
      </c>
      <c r="C2399" s="7">
        <f>"n. 怨恨"&amp;CHAR(10)&amp;"v. （因不满而）不愿意给（或允许）；妒忌（某人）做成某事"</f>
        <v/>
      </c>
      <c r="G2399" s="18">
        <f>HYPERLINK("D:\python\英语学习\voices\"&amp;B2399&amp;"_1.mp3","BrE")</f>
        <v/>
      </c>
      <c r="H2399" s="18">
        <f>HYPERLINK("D:\python\英语学习\voices\"&amp;B2399&amp;"_2.mp3","AmE")</f>
        <v/>
      </c>
      <c r="I2399" s="18">
        <f>HYPERLINK("http://dict.youdao.com/w/"&amp;B2399,"有道")</f>
        <v/>
      </c>
    </row>
    <row customHeight="1" ht="57" r="2400">
      <c r="B2400" s="1" t="inlineStr">
        <is>
          <t>bluff</t>
        </is>
      </c>
      <c r="C2400" s="7">
        <f>"n. 吓唬；绝壁；断崖"&amp;CHAR(10)&amp;"vt. 吓唬；愚弄"&amp;CHAR(10)&amp;"vi. 吓唬"&amp;CHAR(10)&amp;"adj. 直率的；陡峭的"</f>
        <v/>
      </c>
      <c r="G2400" s="18">
        <f>HYPERLINK("D:\python\英语学习\voices\"&amp;B2400&amp;"_1.mp3","BrE")</f>
        <v/>
      </c>
      <c r="H2400" s="18">
        <f>HYPERLINK("D:\python\英语学习\voices\"&amp;B2400&amp;"_2.mp3","AmE")</f>
        <v/>
      </c>
      <c r="I2400" s="18">
        <f>HYPERLINK("http://dict.youdao.com/w/"&amp;B2400,"有道")</f>
        <v/>
      </c>
    </row>
    <row customHeight="1" ht="42.75" r="2401">
      <c r="A2401" s="1" t="inlineStr">
        <is>
          <t>practice</t>
        </is>
      </c>
      <c r="B2401" s="1" t="inlineStr">
        <is>
          <t>wholesome</t>
        </is>
      </c>
      <c r="C2401" s="7">
        <f>"adj. 健全的；有益健康的；合乎卫生的；审慎的"</f>
        <v/>
      </c>
      <c r="G2401" s="18">
        <f>HYPERLINK("D:\python\英语学习\voices\"&amp;B2401&amp;"_1.mp3","BrE")</f>
        <v/>
      </c>
      <c r="H2401" s="18">
        <f>HYPERLINK("D:\python\英语学习\voices\"&amp;B2401&amp;"_2.mp3","AmE")</f>
        <v/>
      </c>
      <c r="I2401" s="18">
        <f>HYPERLINK("http://dict.youdao.com/w/"&amp;B2401,"有道")</f>
        <v/>
      </c>
    </row>
    <row r="2402">
      <c r="B2402" s="1" t="inlineStr">
        <is>
          <t>crooked</t>
        </is>
      </c>
      <c r="C2402" s="7">
        <f>"adj. 弯曲的；歪的；不正当的"</f>
        <v/>
      </c>
      <c r="G2402" s="18">
        <f>HYPERLINK("D:\python\英语学习\voices\"&amp;B2402&amp;"_1.mp3","BrE")</f>
        <v/>
      </c>
      <c r="H2402" s="18">
        <f>HYPERLINK("D:\python\英语学习\voices\"&amp;B2402&amp;"_2.mp3","AmE")</f>
        <v/>
      </c>
      <c r="I2402" s="18">
        <f>HYPERLINK("http://dict.youdao.com/w/"&amp;B2402,"有道")</f>
        <v/>
      </c>
    </row>
    <row r="2403">
      <c r="B2403" s="1" t="inlineStr">
        <is>
          <t>consolation</t>
        </is>
      </c>
      <c r="C2403" s="7">
        <f>"n. 安慰；慰问；起安慰作用的人或事物"</f>
        <v/>
      </c>
      <c r="G2403" s="18">
        <f>HYPERLINK("D:\python\英语学习\voices\"&amp;B2403&amp;"_1.mp3","BrE")</f>
        <v/>
      </c>
      <c r="H2403" s="18">
        <f>HYPERLINK("D:\python\英语学习\voices\"&amp;B2403&amp;"_2.mp3","AmE")</f>
        <v/>
      </c>
      <c r="I2403" s="18">
        <f>HYPERLINK("http://dict.youdao.com/w/"&amp;B2403,"有道")</f>
        <v/>
      </c>
    </row>
    <row customHeight="1" ht="28.5" r="2404">
      <c r="B2404" s="1" t="inlineStr">
        <is>
          <t>shied</t>
        </is>
      </c>
      <c r="C2404" s="7">
        <f>"v. 回避；（指马）惊退；后退；厌恶（shy的过去分词形式）"</f>
        <v/>
      </c>
      <c r="E2404" s="6" t="inlineStr">
        <is>
          <t>shied away from 转变</t>
        </is>
      </c>
      <c r="G2404" s="18">
        <f>HYPERLINK("D:\python\英语学习\voices\"&amp;B2404&amp;"_1.mp3","BrE")</f>
        <v/>
      </c>
      <c r="H2404" s="18">
        <f>HYPERLINK("D:\python\英语学习\voices\"&amp;B2404&amp;"_2.mp3","AmE")</f>
        <v/>
      </c>
      <c r="I2404" s="18">
        <f>HYPERLINK("http://dict.youdao.com/w/"&amp;B2404,"有道")</f>
        <v/>
      </c>
    </row>
    <row customHeight="1" ht="28.5" r="2405">
      <c r="B2405" s="1" t="inlineStr">
        <is>
          <t>royalty</t>
        </is>
      </c>
      <c r="C2405" s="7">
        <f>"n. 皇室；版税；王权；专利税"</f>
        <v/>
      </c>
      <c r="F2405" s="7">
        <f>"You'll earn 60% royalties (one of the industry's highest rates) when you license your photos exclusively with our global distribution partners."</f>
        <v/>
      </c>
      <c r="G2405" s="18">
        <f>HYPERLINK("D:\python\英语学习\voices\"&amp;B2405&amp;"_1.mp3","BrE")</f>
        <v/>
      </c>
      <c r="H2405" s="18">
        <f>HYPERLINK("D:\python\英语学习\voices\"&amp;B2405&amp;"_2.mp3","AmE")</f>
        <v/>
      </c>
      <c r="I2405" s="18">
        <f>HYPERLINK("http://dict.youdao.com/w/"&amp;B2405,"有道")</f>
        <v/>
      </c>
    </row>
    <row r="2406">
      <c r="B2406" s="1" t="inlineStr">
        <is>
          <t>proofread</t>
        </is>
      </c>
      <c r="C2406" s="7">
        <f>"v. 校对，校阅"</f>
        <v/>
      </c>
      <c r="G2406" s="18">
        <f>HYPERLINK("D:\python\英语学习\voices\"&amp;B2406&amp;"_1.mp3","BrE")</f>
        <v/>
      </c>
      <c r="H2406" s="18">
        <f>HYPERLINK("D:\python\英语学习\voices\"&amp;B2406&amp;"_2.mp3","AmE")</f>
        <v/>
      </c>
      <c r="I2406" s="18">
        <f>HYPERLINK("http://dict.youdao.com/w/"&amp;B2406,"有道")</f>
        <v/>
      </c>
    </row>
    <row customHeight="1" ht="28.5" r="2407">
      <c r="B2407" s="1" t="inlineStr">
        <is>
          <t>soot</t>
        </is>
      </c>
      <c r="C2407" s="7">
        <f>"n. 煤烟，烟灰"&amp;CHAR(10)&amp;"vt. 用煤烟熏黑；以煤烟弄脏"</f>
        <v/>
      </c>
      <c r="G2407" s="18">
        <f>HYPERLINK("D:\python\英语学习\voices\"&amp;B2407&amp;"_1.mp3","BrE")</f>
        <v/>
      </c>
      <c r="H2407" s="18">
        <f>HYPERLINK("D:\python\英语学习\voices\"&amp;B2407&amp;"_2.mp3","AmE")</f>
        <v/>
      </c>
      <c r="I2407" s="18">
        <f>HYPERLINK("http://dict.youdao.com/w/"&amp;B2407,"有道")</f>
        <v/>
      </c>
    </row>
    <row r="2408">
      <c r="B2408" s="1" t="inlineStr">
        <is>
          <t>remittance</t>
        </is>
      </c>
      <c r="C2408" s="7">
        <f>"n. 汇款；汇寄之款；汇款额"</f>
        <v/>
      </c>
      <c r="G2408" s="18">
        <f>HYPERLINK("D:\python\英语学习\voices\"&amp;B2408&amp;"_1.mp3","BrE")</f>
        <v/>
      </c>
      <c r="H2408" s="18">
        <f>HYPERLINK("D:\python\英语学习\voices\"&amp;B2408&amp;"_2.mp3","AmE")</f>
        <v/>
      </c>
      <c r="I2408" s="18">
        <f>HYPERLINK("http://dict.youdao.com/w/"&amp;B2408,"有道")</f>
        <v/>
      </c>
    </row>
    <row customHeight="1" ht="28.5" r="2409">
      <c r="B2409" s="1" t="inlineStr">
        <is>
          <t>tract</t>
        </is>
      </c>
      <c r="C2409" s="7">
        <f>"n. 束；大片土地，地带；小册子"&amp;CHAR(10)&amp;"n. (Tract)人名；(英)特拉克特"</f>
        <v/>
      </c>
      <c r="G2409" s="18">
        <f>HYPERLINK("D:\python\英语学习\voices\"&amp;B2409&amp;"_1.mp3","BrE")</f>
        <v/>
      </c>
      <c r="H2409" s="18">
        <f>HYPERLINK("D:\python\英语学习\voices\"&amp;B2409&amp;"_2.mp3","AmE")</f>
        <v/>
      </c>
      <c r="I2409" s="18">
        <f>HYPERLINK("http://dict.youdao.com/w/"&amp;B2409,"有道")</f>
        <v/>
      </c>
    </row>
    <row r="2410">
      <c r="B2410" s="1" t="inlineStr">
        <is>
          <t>printing</t>
        </is>
      </c>
      <c r="C2410" s="7">
        <f>"n. 印刷；印刷术"</f>
        <v/>
      </c>
      <c r="G2410" s="18">
        <f>HYPERLINK("D:\python\英语学习\voices\"&amp;B2410&amp;"_1.mp3","BrE")</f>
        <v/>
      </c>
      <c r="H2410" s="18">
        <f>HYPERLINK("D:\python\英语学习\voices\"&amp;B2410&amp;"_2.mp3","AmE")</f>
        <v/>
      </c>
      <c r="I2410" s="18">
        <f>HYPERLINK("http://dict.youdao.com/w/"&amp;B2410,"有道")</f>
        <v/>
      </c>
    </row>
    <row r="2411">
      <c r="B2411" s="1" t="inlineStr">
        <is>
          <t>apostrophe</t>
        </is>
      </c>
      <c r="C2411" s="7">
        <f>"n. 省略符号，撇号；呼语，顿呼"</f>
        <v/>
      </c>
      <c r="G2411" s="18">
        <f>HYPERLINK("D:\python\英语学习\voices\"&amp;B2411&amp;"_1.mp3","BrE")</f>
        <v/>
      </c>
      <c r="H2411" s="18">
        <f>HYPERLINK("D:\python\英语学习\voices\"&amp;B2411&amp;"_2.mp3","AmE")</f>
        <v/>
      </c>
      <c r="I2411" s="18">
        <f>HYPERLINK("http://dict.youdao.com/w/"&amp;B2411,"有道")</f>
        <v/>
      </c>
    </row>
    <row r="2412">
      <c r="B2412" s="1" t="inlineStr">
        <is>
          <t>faculty</t>
        </is>
      </c>
      <c r="C2412" s="7">
        <f>"n. 科，系；能力；全体教员"</f>
        <v/>
      </c>
      <c r="G2412" s="18">
        <f>HYPERLINK("D:\python\英语学习\voices\"&amp;B2412&amp;"_1.mp3","BrE")</f>
        <v/>
      </c>
      <c r="H2412" s="18">
        <f>HYPERLINK("D:\python\英语学习\voices\"&amp;B2412&amp;"_2.mp3","AmE")</f>
        <v/>
      </c>
      <c r="I2412" s="18">
        <f>HYPERLINK("http://dict.youdao.com/w/"&amp;B2412,"有道")</f>
        <v/>
      </c>
    </row>
    <row r="2413">
      <c r="B2413" s="1" t="inlineStr">
        <is>
          <t>minority</t>
        </is>
      </c>
      <c r="C2413" s="7">
        <f>"n. 少数民族；少数派；未成年"</f>
        <v/>
      </c>
      <c r="G2413" s="18">
        <f>HYPERLINK("D:\python\英语学习\voices\"&amp;B2413&amp;"_1.mp3","BrE")</f>
        <v/>
      </c>
      <c r="H2413" s="18">
        <f>HYPERLINK("D:\python\英语学习\voices\"&amp;B2413&amp;"_2.mp3","AmE")</f>
        <v/>
      </c>
      <c r="I2413" s="18">
        <f>HYPERLINK("http://dict.youdao.com/w/"&amp;B2413,"有道")</f>
        <v/>
      </c>
    </row>
    <row customHeight="1" ht="28.5" r="2414">
      <c r="B2414" s="1" t="inlineStr">
        <is>
          <t>umpire</t>
        </is>
      </c>
      <c r="C2414" s="7">
        <f>"n. 裁判员，仲裁人"&amp;CHAR(10)&amp;"v. 仲裁，裁判；当裁判，任裁判"</f>
        <v/>
      </c>
      <c r="G2414" s="18">
        <f>HYPERLINK("D:\python\英语学习\voices\"&amp;B2414&amp;"_1.mp3","BrE")</f>
        <v/>
      </c>
      <c r="H2414" s="18">
        <f>HYPERLINK("D:\python\英语学习\voices\"&amp;B2414&amp;"_2.mp3","AmE")</f>
        <v/>
      </c>
      <c r="I2414" s="18">
        <f>HYPERLINK("http://dict.youdao.com/w/"&amp;B2414,"有道")</f>
        <v/>
      </c>
    </row>
    <row customHeight="1" ht="42.75" r="2415">
      <c r="B2415" s="1" t="inlineStr">
        <is>
          <t>kelp</t>
        </is>
      </c>
      <c r="C2415" s="7">
        <f>"n. [植] 巨藻，海藻；海草灰"&amp;CHAR(10)&amp;"vi. 烧制海草灰"&amp;CHAR(10)&amp;"n. (Kelp)人名；(罗)凯尔普"</f>
        <v/>
      </c>
      <c r="G2415" s="18">
        <f>HYPERLINK("D:\python\英语学习\voices\"&amp;B2415&amp;"_1.mp3","BrE")</f>
        <v/>
      </c>
      <c r="H2415" s="18">
        <f>HYPERLINK("D:\python\英语学习\voices\"&amp;B2415&amp;"_2.mp3","AmE")</f>
        <v/>
      </c>
      <c r="I2415" s="18">
        <f>HYPERLINK("http://dict.youdao.com/w/"&amp;B2415,"有道")</f>
        <v/>
      </c>
    </row>
    <row r="2416">
      <c r="B2416" s="1" t="inlineStr">
        <is>
          <t>fabric</t>
        </is>
      </c>
      <c r="C2416" s="7">
        <f>"n. 织物；布；组织；构造；建筑物"</f>
        <v/>
      </c>
      <c r="G2416" s="18">
        <f>HYPERLINK("D:\python\英语学习\voices\"&amp;B2416&amp;"_1.mp3","BrE")</f>
        <v/>
      </c>
      <c r="H2416" s="18">
        <f>HYPERLINK("D:\python\英语学习\voices\"&amp;B2416&amp;"_2.mp3","AmE")</f>
        <v/>
      </c>
      <c r="I2416" s="18">
        <f>HYPERLINK("http://dict.youdao.com/w/"&amp;B2416,"有道")</f>
        <v/>
      </c>
    </row>
    <row customHeight="1" ht="28.5" r="2417">
      <c r="B2417" s="1" t="inlineStr">
        <is>
          <t>trouser</t>
        </is>
      </c>
      <c r="C2417" s="7">
        <f>"n. 裤子"&amp;CHAR(10)&amp;"adj. 裤子的"</f>
        <v/>
      </c>
      <c r="G2417" s="18">
        <f>HYPERLINK("D:\python\英语学习\voices\"&amp;B2417&amp;"_1.mp3","BrE")</f>
        <v/>
      </c>
      <c r="H2417" s="18">
        <f>HYPERLINK("D:\python\英语学习\voices\"&amp;B2417&amp;"_2.mp3","AmE")</f>
        <v/>
      </c>
      <c r="I2417" s="18">
        <f>HYPERLINK("http://dict.youdao.com/w/"&amp;B2417,"有道")</f>
        <v/>
      </c>
    </row>
    <row r="2418">
      <c r="B2418" s="1" t="inlineStr">
        <is>
          <t>critter</t>
        </is>
      </c>
      <c r="C2418" s="7">
        <f>"n. 生物，动物；……样的人"</f>
        <v/>
      </c>
      <c r="G2418" s="18">
        <f>HYPERLINK("D:\python\英语学习\voices\"&amp;B2418&amp;"_1.mp3","BrE")</f>
        <v/>
      </c>
      <c r="H2418" s="18">
        <f>HYPERLINK("D:\python\英语学习\voices\"&amp;B2418&amp;"_2.mp3","AmE")</f>
        <v/>
      </c>
      <c r="I2418" s="18">
        <f>HYPERLINK("http://dict.youdao.com/w/"&amp;B2418,"有道")</f>
        <v/>
      </c>
    </row>
    <row r="2419">
      <c r="B2419" s="1" t="inlineStr">
        <is>
          <t>pregnant</t>
        </is>
      </c>
      <c r="C2419" s="7">
        <f>"adj. 怀孕的；富有意义的"</f>
        <v/>
      </c>
      <c r="E2419" s="6" t="inlineStr">
        <is>
          <t>a pregnant pause/silence 耐人寻味的停顿;心照不宣的沉默</t>
        </is>
      </c>
      <c r="G2419" s="18">
        <f>HYPERLINK("D:\python\英语学习\voices\"&amp;B2419&amp;"_1.mp3","BrE")</f>
        <v/>
      </c>
      <c r="H2419" s="18">
        <f>HYPERLINK("D:\python\英语学习\voices\"&amp;B2419&amp;"_2.mp3","AmE")</f>
        <v/>
      </c>
      <c r="I2419" s="18">
        <f>HYPERLINK("http://dict.youdao.com/w/"&amp;B2419,"有道")</f>
        <v/>
      </c>
    </row>
    <row r="2420">
      <c r="A2420" s="1" t="inlineStr">
        <is>
          <t>unnecessary</t>
        </is>
      </c>
      <c r="B2420" s="1" t="inlineStr">
        <is>
          <t>vinyl</t>
        </is>
      </c>
      <c r="C2420" s="7">
        <f>"n. 乙烯基（化学）；黑胶唱片"</f>
        <v/>
      </c>
      <c r="G2420" s="18">
        <f>HYPERLINK("D:\python\英语学习\voices\"&amp;B2420&amp;"_1.mp3","BrE")</f>
        <v/>
      </c>
      <c r="H2420" s="18">
        <f>HYPERLINK("D:\python\英语学习\voices\"&amp;B2420&amp;"_2.mp3","AmE")</f>
        <v/>
      </c>
      <c r="I2420" s="18">
        <f>HYPERLINK("http://dict.youdao.com/w/"&amp;B2420,"有道")</f>
        <v/>
      </c>
    </row>
    <row customHeight="1" ht="28.5" r="2421">
      <c r="B2421" s="1" t="inlineStr">
        <is>
          <t>sachet</t>
        </is>
      </c>
      <c r="C2421" s="7">
        <f>"n. 香囊；小袋"&amp;CHAR(10)&amp;"n. (Sachet)人名；(法)萨谢"</f>
        <v/>
      </c>
      <c r="E2421" s="7" t="inlineStr">
        <is>
          <t>糖水包syrup sachet
注意发音--法语ori?</t>
        </is>
      </c>
      <c r="G2421" s="18">
        <f>HYPERLINK("D:\python\英语学习\voices\"&amp;B2421&amp;"_1.mp3","BrE")</f>
        <v/>
      </c>
      <c r="H2421" s="18">
        <f>HYPERLINK("D:\python\英语学习\voices\"&amp;B2421&amp;"_2.mp3","AmE")</f>
        <v/>
      </c>
      <c r="I2421" s="18">
        <f>HYPERLINK("http://dict.youdao.com/w/"&amp;B2421,"有道")</f>
        <v/>
      </c>
    </row>
    <row customHeight="1" ht="42.75" r="2422">
      <c r="B2422" s="1" t="inlineStr">
        <is>
          <t>assorted</t>
        </is>
      </c>
      <c r="C2422" s="7">
        <f>"adj. 组合的；各种各样的；混杂的"&amp;CHAR(10)&amp;"v. 把…分等级；把…归为一类（assort的过去分词）"</f>
        <v/>
      </c>
      <c r="G2422" s="18">
        <f>HYPERLINK("D:\python\英语学习\voices\"&amp;B2422&amp;"_1.mp3","BrE")</f>
        <v/>
      </c>
      <c r="H2422" s="18">
        <f>HYPERLINK("D:\python\英语学习\voices\"&amp;B2422&amp;"_2.mp3","AmE")</f>
        <v/>
      </c>
      <c r="I2422" s="18">
        <f>HYPERLINK("http://dict.youdao.com/w/"&amp;B2422,"有道")</f>
        <v/>
      </c>
    </row>
    <row r="2423">
      <c r="B2423" s="1" t="inlineStr">
        <is>
          <t>chronology</t>
        </is>
      </c>
      <c r="C2423" s="7">
        <f>"n. 年表；年代学"</f>
        <v/>
      </c>
      <c r="G2423" s="18">
        <f>HYPERLINK("D:\python\英语学习\voices\"&amp;B2423&amp;"_1.mp3","BrE")</f>
        <v/>
      </c>
      <c r="H2423" s="18">
        <f>HYPERLINK("D:\python\英语学习\voices\"&amp;B2423&amp;"_2.mp3","AmE")</f>
        <v/>
      </c>
      <c r="I2423" s="18">
        <f>HYPERLINK("http://dict.youdao.com/w/"&amp;B2423,"有道")</f>
        <v/>
      </c>
    </row>
    <row r="2424">
      <c r="B2424" s="1" t="inlineStr">
        <is>
          <t>chronologic</t>
        </is>
      </c>
      <c r="C2424" s="7">
        <f>"adj. 按时间顺序的；按照年月顺序的"</f>
        <v/>
      </c>
      <c r="G2424" s="18">
        <f>HYPERLINK("D:\python\英语学习\voices\"&amp;B2424&amp;"_1.mp3","BrE")</f>
        <v/>
      </c>
      <c r="H2424" s="18">
        <f>HYPERLINK("D:\python\英语学习\voices\"&amp;B2424&amp;"_2.mp3","AmE")</f>
        <v/>
      </c>
      <c r="I2424" s="18">
        <f>HYPERLINK("http://dict.youdao.com/w/"&amp;B2424,"有道")</f>
        <v/>
      </c>
    </row>
    <row customHeight="1" ht="28.5" r="2425">
      <c r="B2425" s="1" t="inlineStr">
        <is>
          <t>nuzzle</t>
        </is>
      </c>
      <c r="C2425" s="7">
        <f>"vt. 用鼻紧挨，用鼻爱抚；紧贴某人"&amp;CHAR(10)&amp;"vi. 用鼻擦；舒服地躺著"</f>
        <v/>
      </c>
      <c r="G2425" s="18">
        <f>HYPERLINK("D:\python\英语学习\voices\"&amp;B2425&amp;"_1.mp3","BrE")</f>
        <v/>
      </c>
      <c r="H2425" s="18">
        <f>HYPERLINK("D:\python\英语学习\voices\"&amp;B2425&amp;"_2.mp3","AmE")</f>
        <v/>
      </c>
      <c r="I2425" s="18">
        <f>HYPERLINK("http://dict.youdao.com/w/"&amp;B2425,"有道")</f>
        <v/>
      </c>
    </row>
    <row customHeight="1" ht="28.5" r="2426">
      <c r="B2426" s="1" t="inlineStr">
        <is>
          <t>vile</t>
        </is>
      </c>
      <c r="C2426" s="7">
        <f>"adj. 卑鄙的；邪恶的；低廉的；肮脏的"&amp;CHAR(10)&amp;"n. (Vile)人名；(英)瓦伊尔；(芬)维莱"</f>
        <v/>
      </c>
      <c r="G2426" s="18">
        <f>HYPERLINK("D:\python\英语学习\voices\"&amp;B2426&amp;"_1.mp3","BrE")</f>
        <v/>
      </c>
      <c r="H2426" s="18">
        <f>HYPERLINK("D:\python\英语学习\voices\"&amp;B2426&amp;"_2.mp3","AmE")</f>
        <v/>
      </c>
      <c r="I2426" s="18">
        <f>HYPERLINK("http://dict.youdao.com/w/"&amp;B2426,"有道")</f>
        <v/>
      </c>
    </row>
    <row customHeight="1" ht="29.1" r="2427">
      <c r="B2427" s="1" t="inlineStr">
        <is>
          <t>gritty</t>
        </is>
      </c>
      <c r="C2427" s="7">
        <f>"adj. 坚韧不拔的；有砂砾的；多沙的；像砂的"</f>
        <v/>
      </c>
      <c r="G2427" s="18">
        <f>HYPERLINK("D:\python\英语学习\voices\"&amp;B2427&amp;"_1.mp3","BrE")</f>
        <v/>
      </c>
      <c r="H2427" s="18">
        <f>HYPERLINK("D:\python\英语学习\voices\"&amp;B2427&amp;"_2.mp3","AmE")</f>
        <v/>
      </c>
      <c r="I2427" s="18">
        <f>HYPERLINK("http://dict.youdao.com/w/"&amp;B2427,"有道")</f>
        <v/>
      </c>
    </row>
    <row customHeight="1" ht="28.5" r="2428">
      <c r="A2428" s="1" t="inlineStr">
        <is>
          <t>practice</t>
        </is>
      </c>
      <c r="B2428" s="1" t="inlineStr">
        <is>
          <t>withhold</t>
        </is>
      </c>
      <c r="C2428" s="7">
        <f>"vt. 保留，不给；隐瞒；抑制"&amp;CHAR(10)&amp;"vi. 忍住；克制"</f>
        <v/>
      </c>
      <c r="G2428" s="18">
        <f>HYPERLINK("D:\python\英语学习\voices\"&amp;B2428&amp;"_1.mp3","BrE")</f>
        <v/>
      </c>
      <c r="H2428" s="18">
        <f>HYPERLINK("D:\python\英语学习\voices\"&amp;B2428&amp;"_2.mp3","AmE")</f>
        <v/>
      </c>
      <c r="I2428" s="18">
        <f>HYPERLINK("http://dict.youdao.com/w/"&amp;B2428,"有道")</f>
        <v/>
      </c>
    </row>
    <row r="2429">
      <c r="B2429" s="1" t="inlineStr">
        <is>
          <t>ruggedly</t>
        </is>
      </c>
      <c r="C2429" s="7">
        <f>"adv. 粗暴地，险峻地"</f>
        <v/>
      </c>
      <c r="G2429" s="18">
        <f>HYPERLINK("D:\python\英语学习\voices\"&amp;B2429&amp;"_1.mp3","BrE")</f>
        <v/>
      </c>
      <c r="H2429" s="18">
        <f>HYPERLINK("D:\python\英语学习\voices\"&amp;B2429&amp;"_2.mp3","AmE")</f>
        <v/>
      </c>
      <c r="I2429" s="18">
        <f>HYPERLINK("http://dict.youdao.com/w/"&amp;B2429,"有道")</f>
        <v/>
      </c>
    </row>
    <row customHeight="1" ht="57" r="2430">
      <c r="B2430" s="1" t="inlineStr">
        <is>
          <t>flight</t>
        </is>
      </c>
      <c r="C2430" s="7">
        <f>"n. 飞行；班机；逃走"&amp;CHAR(10)&amp;"vt. 射击；使惊飞"&amp;CHAR(10)&amp;"vi. 迁徙"&amp;CHAR(10)&amp;"n. (Flight)人名；(英)弗莱特"</f>
        <v/>
      </c>
      <c r="G2430" s="18">
        <f>HYPERLINK("D:\python\英语学习\voices\"&amp;B2430&amp;"_1.mp3","BrE")</f>
        <v/>
      </c>
      <c r="H2430" s="18">
        <f>HYPERLINK("D:\python\英语学习\voices\"&amp;B2430&amp;"_2.mp3","AmE")</f>
        <v/>
      </c>
      <c r="I2430" s="18">
        <f>HYPERLINK("http://dict.youdao.com/w/"&amp;B2430,"有道")</f>
        <v/>
      </c>
    </row>
    <row r="2431">
      <c r="B2431" s="1" t="inlineStr">
        <is>
          <t>contrived</t>
        </is>
      </c>
      <c r="C2431" s="7">
        <f>"adj. 人为的；做作的；不自然的"</f>
        <v/>
      </c>
      <c r="G2431" s="18">
        <f>HYPERLINK("D:\python\英语学习\voices\"&amp;B2431&amp;"_1.mp3","BrE")</f>
        <v/>
      </c>
      <c r="H2431" s="18">
        <f>HYPERLINK("D:\python\英语学习\voices\"&amp;B2431&amp;"_2.mp3","AmE")</f>
        <v/>
      </c>
      <c r="I2431" s="18">
        <f>HYPERLINK("http://dict.youdao.com/w/"&amp;B2431,"有道")</f>
        <v/>
      </c>
    </row>
    <row r="2432">
      <c r="B2432" s="1" t="inlineStr">
        <is>
          <t>fruity</t>
        </is>
      </c>
      <c r="C2432" s="7">
        <f>"adj. 圆润的；有果味的；果实状的"</f>
        <v/>
      </c>
      <c r="G2432" s="18">
        <f>HYPERLINK("D:\python\英语学习\voices\"&amp;B2432&amp;"_1.mp3","BrE")</f>
        <v/>
      </c>
      <c r="H2432" s="18">
        <f>HYPERLINK("D:\python\英语学习\voices\"&amp;B2432&amp;"_2.mp3","AmE")</f>
        <v/>
      </c>
      <c r="I2432" s="18">
        <f>HYPERLINK("http://dict.youdao.com/w/"&amp;B2432,"有道")</f>
        <v/>
      </c>
    </row>
    <row customHeight="1" ht="28.5" r="2433">
      <c r="B2433" s="1" t="inlineStr">
        <is>
          <t>oblong</t>
        </is>
      </c>
      <c r="C2433" s="7">
        <f>"adj. 椭圆形的；长方形的"&amp;CHAR(10)&amp;"n. 椭圆形；长方形"</f>
        <v/>
      </c>
      <c r="G2433" s="18">
        <f>HYPERLINK("D:\python\英语学习\voices\"&amp;B2433&amp;"_1.mp3","BrE")</f>
        <v/>
      </c>
      <c r="H2433" s="18">
        <f>HYPERLINK("D:\python\英语学习\voices\"&amp;B2433&amp;"_2.mp3","AmE")</f>
        <v/>
      </c>
      <c r="I2433" s="18">
        <f>HYPERLINK("http://dict.youdao.com/w/"&amp;B2433,"有道")</f>
        <v/>
      </c>
    </row>
    <row r="2434">
      <c r="B2434" s="1" t="inlineStr">
        <is>
          <t>plaque</t>
        </is>
      </c>
      <c r="C2434" s="7">
        <f>"n. 匾；血小板；饰板"</f>
        <v/>
      </c>
      <c r="G2434" s="18">
        <f>HYPERLINK("D:\python\英语学习\voices\"&amp;B2434&amp;"_1.mp3","BrE")</f>
        <v/>
      </c>
      <c r="H2434" s="18">
        <f>HYPERLINK("D:\python\英语学习\voices\"&amp;B2434&amp;"_2.mp3","AmE")</f>
        <v/>
      </c>
      <c r="I2434" s="18">
        <f>HYPERLINK("http://dict.youdao.com/w/"&amp;B2434,"有道")</f>
        <v/>
      </c>
    </row>
    <row r="2435">
      <c r="B2435" s="1" t="inlineStr">
        <is>
          <t>meagreness</t>
        </is>
      </c>
      <c r="C2435" s="7">
        <f>"n. 贫乏，贫弱；瘦"</f>
        <v/>
      </c>
      <c r="G2435" s="18">
        <f>HYPERLINK("D:\python\英语学习\voices\"&amp;B2435&amp;"_1.mp3","BrE")</f>
        <v/>
      </c>
      <c r="H2435" s="18">
        <f>HYPERLINK("D:\python\英语学习\voices\"&amp;B2435&amp;"_2.mp3","AmE")</f>
        <v/>
      </c>
      <c r="I2435" s="18">
        <f>HYPERLINK("http://dict.youdao.com/w/"&amp;B2435,"有道")</f>
        <v/>
      </c>
    </row>
    <row customHeight="1" ht="42.75" r="2436">
      <c r="B2436" s="1" t="inlineStr">
        <is>
          <t>sanguine</t>
        </is>
      </c>
      <c r="C2436" s="7">
        <f>"adj. 乐观的；满怀希望的；面色红润的"&amp;CHAR(10)&amp;"vt. 血染；以血沾污"&amp;CHAR(10)&amp;"n. 血红色"</f>
        <v/>
      </c>
      <c r="G2436" s="18">
        <f>HYPERLINK("D:\python\英语学习\voices\"&amp;B2436&amp;"_1.mp3","BrE")</f>
        <v/>
      </c>
      <c r="H2436" s="18">
        <f>HYPERLINK("D:\python\英语学习\voices\"&amp;B2436&amp;"_2.mp3","AmE")</f>
        <v/>
      </c>
      <c r="I2436" s="18">
        <f>HYPERLINK("http://dict.youdao.com/w/"&amp;B2436,"有道")</f>
        <v/>
      </c>
    </row>
    <row customHeight="1" ht="57" r="2437">
      <c r="B2437" s="1" t="inlineStr">
        <is>
          <t>eddy</t>
        </is>
      </c>
      <c r="C2437" s="7">
        <f>"n. 涡流；漩涡；逆流"&amp;CHAR(10)&amp;"vi. 旋转；起漩涡"&amp;CHAR(10)&amp;"vt. 使…起漩涡"&amp;CHAR(10)&amp;"n. (Eddy)人名；(英、法、印尼、葡)埃迪"</f>
        <v/>
      </c>
      <c r="G2437" s="18">
        <f>HYPERLINK("D:\python\英语学习\voices\"&amp;B2437&amp;"_1.mp3","BrE")</f>
        <v/>
      </c>
      <c r="H2437" s="18">
        <f>HYPERLINK("D:\python\英语学习\voices\"&amp;B2437&amp;"_2.mp3","AmE")</f>
        <v/>
      </c>
      <c r="I2437" s="18">
        <f>HYPERLINK("http://dict.youdao.com/w/"&amp;B2437,"有道")</f>
        <v/>
      </c>
    </row>
    <row customHeight="1" ht="114" r="2438">
      <c r="B2438" s="1" t="inlineStr">
        <is>
          <t>spiral</t>
        </is>
      </c>
      <c r="C2438" s="7">
        <f>"n. 螺旋；旋涡；螺旋形之物"&amp;CHAR(10)&amp;"adj. 螺旋形的；盘旋的"&amp;CHAR(10)&amp;"vt. 使成螺旋形；使作螺旋形上升"&amp;CHAR(10)&amp;"vi. 盘旋；成螺旋形；螺旋形上升（过去式spiraled/spiralled，过去分词spiraled/spiralled，现在分词spiraling/spiralling，第三人称单数spirals，副词spirally）"</f>
        <v/>
      </c>
      <c r="G2438" s="18">
        <f>HYPERLINK("D:\python\英语学习\voices\"&amp;B2438&amp;"_1.mp3","BrE")</f>
        <v/>
      </c>
      <c r="H2438" s="18">
        <f>HYPERLINK("D:\python\英语学习\voices\"&amp;B2438&amp;"_2.mp3","AmE")</f>
        <v/>
      </c>
      <c r="I2438" s="18">
        <f>HYPERLINK("http://dict.youdao.com/w/"&amp;B2438,"有道")</f>
        <v/>
      </c>
    </row>
    <row customHeight="1" ht="42.75" r="2439">
      <c r="B2439" s="1" t="inlineStr">
        <is>
          <t>gaze</t>
        </is>
      </c>
      <c r="C2439" s="7">
        <f>"vi. 凝视；注视"&amp;CHAR(10)&amp;"n. 凝视；注视"&amp;CHAR(10)&amp;"n. (Gaze)人名；(俄、意)加泽；(德)加策"</f>
        <v/>
      </c>
      <c r="G2439" s="18">
        <f>HYPERLINK("D:\python\英语学习\voices\"&amp;B2439&amp;"_1.mp3","BrE")</f>
        <v/>
      </c>
      <c r="H2439" s="18">
        <f>HYPERLINK("D:\python\英语学习\voices\"&amp;B2439&amp;"_2.mp3","AmE")</f>
        <v/>
      </c>
      <c r="I2439" s="18">
        <f>HYPERLINK("http://dict.youdao.com/w/"&amp;B2439,"有道")</f>
        <v/>
      </c>
    </row>
    <row r="2440">
      <c r="B2440" s="1" t="inlineStr">
        <is>
          <t>fitfully</t>
        </is>
      </c>
      <c r="C2440" s="7">
        <f>"adv. 断断续续地；发作地"</f>
        <v/>
      </c>
      <c r="G2440" s="18">
        <f>HYPERLINK("D:\python\英语学习\voices\"&amp;B2440&amp;"_1.mp3","BrE")</f>
        <v/>
      </c>
      <c r="H2440" s="18">
        <f>HYPERLINK("D:\python\英语学习\voices\"&amp;B2440&amp;"_2.mp3","AmE")</f>
        <v/>
      </c>
      <c r="I2440" s="18">
        <f>HYPERLINK("http://dict.youdao.com/w/"&amp;B2440,"有道")</f>
        <v/>
      </c>
    </row>
    <row customHeight="1" ht="85.5" r="2441">
      <c r="B2441" s="1" t="inlineStr">
        <is>
          <t>dart</t>
        </is>
      </c>
      <c r="C2441" s="7">
        <f>"n. 飞镖；急驰，飞奔；一阵剧痛；（衣服的）褶；热带和亚热带鱼类"&amp;CHAR(10)&amp;"v. 急冲，飞奔；投掷，投射；把（目光）飞快扫向"&amp;CHAR(10)&amp;"n. (Dart) （美、英、加、澳、法）达特（人名）"</f>
        <v/>
      </c>
      <c r="E2441" s="6" t="inlineStr">
        <is>
          <t>dart away</t>
        </is>
      </c>
      <c r="G2441" s="18">
        <f>HYPERLINK("D:\python\英语学习\voices\"&amp;B2441&amp;"_1.mp3","BrE")</f>
        <v/>
      </c>
      <c r="H2441" s="18">
        <f>HYPERLINK("D:\python\英语学习\voices\"&amp;B2441&amp;"_2.mp3","AmE")</f>
        <v/>
      </c>
      <c r="I2441" s="18">
        <f>HYPERLINK("http://dict.youdao.com/w/"&amp;B2441,"有道")</f>
        <v/>
      </c>
    </row>
    <row customHeight="1" ht="28.5" r="2442">
      <c r="B2442" s="1" t="inlineStr">
        <is>
          <t>snoop</t>
        </is>
      </c>
      <c r="C2442" s="7">
        <f>"v. 窥探，调查，打探"&amp;CHAR(10)&amp;"n. 窥探者，私家侦探；窥探"</f>
        <v/>
      </c>
      <c r="G2442" s="18">
        <f>HYPERLINK("D:\python\英语学习\voices\"&amp;B2442&amp;"_1.mp3","BrE")</f>
        <v/>
      </c>
      <c r="H2442" s="18">
        <f>HYPERLINK("D:\python\英语学习\voices\"&amp;B2442&amp;"_2.mp3","AmE")</f>
        <v/>
      </c>
      <c r="I2442" s="18">
        <f>HYPERLINK("http://dict.youdao.com/w/"&amp;B2442,"有道")</f>
        <v/>
      </c>
    </row>
    <row customHeight="1" ht="71.25" r="2443">
      <c r="B2443" s="1" t="inlineStr">
        <is>
          <t>babble</t>
        </is>
      </c>
      <c r="C2443" s="7">
        <f>"v. 含糊不清地说；喋喋不休；（不自觉或不小心）泄露机密；（水流过石块）潺潺作响"&amp;CHAR(10)&amp;"n. 嘈杂的人声；含糊不清的话；胡言乱语；行话；（水流的）潺潺声；（幼儿）咿呀学语声；电信（集扰）"</f>
        <v/>
      </c>
      <c r="E2443" s="6" t="inlineStr">
        <is>
          <t>babbling away</t>
        </is>
      </c>
      <c r="G2443" s="18">
        <f>HYPERLINK("D:\python\英语学习\voices\"&amp;B2443&amp;"_1.mp3","BrE")</f>
        <v/>
      </c>
      <c r="H2443" s="18">
        <f>HYPERLINK("D:\python\英语学习\voices\"&amp;B2443&amp;"_2.mp3","AmE")</f>
        <v/>
      </c>
      <c r="I2443" s="18">
        <f>HYPERLINK("http://dict.youdao.com/w/"&amp;B2443,"有道")</f>
        <v/>
      </c>
    </row>
    <row r="2444">
      <c r="B2444" s="1" t="inlineStr">
        <is>
          <t>guesswork</t>
        </is>
      </c>
      <c r="C2444" s="7">
        <f>"n. 猜测；臆测；凭猜测所作之工作"</f>
        <v/>
      </c>
      <c r="G2444" s="18">
        <f>HYPERLINK("D:\python\英语学习\voices\"&amp;B2444&amp;"_1.mp3","BrE")</f>
        <v/>
      </c>
      <c r="H2444" s="18">
        <f>HYPERLINK("D:\python\英语学习\voices\"&amp;B2444&amp;"_2.mp3","AmE")</f>
        <v/>
      </c>
      <c r="I2444" s="18">
        <f>HYPERLINK("http://dict.youdao.com/w/"&amp;B2444,"有道")</f>
        <v/>
      </c>
    </row>
    <row r="2445">
      <c r="B2445" s="1" t="inlineStr">
        <is>
          <t>conceivable</t>
        </is>
      </c>
      <c r="C2445" s="7">
        <f>"adj. 可想像的；可相信的"</f>
        <v/>
      </c>
      <c r="G2445" s="18">
        <f>HYPERLINK("D:\python\英语学习\voices\"&amp;B2445&amp;"_1.mp3","BrE")</f>
        <v/>
      </c>
      <c r="H2445" s="18">
        <f>HYPERLINK("D:\python\英语学习\voices\"&amp;B2445&amp;"_2.mp3","AmE")</f>
        <v/>
      </c>
      <c r="I2445" s="18">
        <f>HYPERLINK("http://dict.youdao.com/w/"&amp;B2445,"有道")</f>
        <v/>
      </c>
    </row>
    <row r="2446">
      <c r="B2446" s="1" t="inlineStr">
        <is>
          <t>grimy</t>
        </is>
      </c>
      <c r="C2446" s="7">
        <f>"adj. 肮脏的，污秽的"</f>
        <v/>
      </c>
      <c r="G2446" s="18">
        <f>HYPERLINK("D:\python\英语学习\voices\"&amp;B2446&amp;"_1.mp3","BrE")</f>
        <v/>
      </c>
      <c r="H2446" s="18">
        <f>HYPERLINK("D:\python\英语学习\voices\"&amp;B2446&amp;"_2.mp3","AmE")</f>
        <v/>
      </c>
      <c r="I2446" s="18">
        <f>HYPERLINK("http://dict.youdao.com/w/"&amp;B2446,"有道")</f>
        <v/>
      </c>
    </row>
    <row customHeight="1" ht="42.75" r="2447">
      <c r="A2447" s="1" t="inlineStr">
        <is>
          <t>practice</t>
        </is>
      </c>
      <c r="B2447" s="1" t="inlineStr">
        <is>
          <t>configuration</t>
        </is>
      </c>
      <c r="C2447" s="7">
        <f>"n. 配置；结构；外形"</f>
        <v/>
      </c>
      <c r="G2447" s="18">
        <f>HYPERLINK("D:\python\英语学习\voices\"&amp;B2447&amp;"_1.mp3","BrE")</f>
        <v/>
      </c>
      <c r="H2447" s="18">
        <f>HYPERLINK("D:\python\英语学习\voices\"&amp;B2447&amp;"_2.mp3","AmE")</f>
        <v/>
      </c>
      <c r="I2447" s="18">
        <f>HYPERLINK("http://dict.youdao.com/w/"&amp;B2447,"有道")</f>
        <v/>
      </c>
    </row>
    <row customHeight="1" ht="128.25" r="2448">
      <c r="B2448" s="1" t="inlineStr">
        <is>
          <t>balk</t>
        </is>
      </c>
      <c r="C2448" s="7">
        <f>"v. 畏缩不前，犹豫；（马在障碍物前）突然止步，拒绝跳跃；（棒球投手在投球时）做假动作，佯投；阻止，妨碍（人或动物）拥有（某物）；错过，拒绝（机会、邀请）（等于 baulk）"&amp;CHAR(10)&amp;"n. 障碍；梁木，粗枋；（台球）台盘限制区；（棒球）违例佯投动作；（畦间隆起的）梗（等于 baulk）"&amp;CHAR(10)&amp;"n. (Balk) （美）鲍克（人名）"</f>
        <v/>
      </c>
      <c r="G2448" s="18">
        <f>HYPERLINK("D:\python\英语学习\voices\"&amp;B2448&amp;"_1.mp3","BrE")</f>
        <v/>
      </c>
      <c r="H2448" s="18">
        <f>HYPERLINK("D:\python\英语学习\voices\"&amp;B2448&amp;"_2.mp3","AmE")</f>
        <v/>
      </c>
      <c r="I2448" s="18">
        <f>HYPERLINK("http://dict.youdao.com/w/"&amp;B2448,"有道")</f>
        <v/>
      </c>
    </row>
    <row customHeight="1" ht="28.5" r="2449">
      <c r="B2449" s="1" t="inlineStr">
        <is>
          <t>corrugated</t>
        </is>
      </c>
      <c r="C2449" s="7">
        <f>"adj. 波纹的；缩成皱纹的；有瓦楞的"&amp;CHAR(10)&amp;"v. （使）起皱纹（corrugate的过去式）"</f>
        <v/>
      </c>
      <c r="G2449" s="18">
        <f>HYPERLINK("D:\python\英语学习\voices\"&amp;B2449&amp;"_1.mp3","BrE")</f>
        <v/>
      </c>
      <c r="H2449" s="18">
        <f>HYPERLINK("D:\python\英语学习\voices\"&amp;B2449&amp;"_2.mp3","AmE")</f>
        <v/>
      </c>
      <c r="I2449" s="18">
        <f>HYPERLINK("http://dict.youdao.com/w/"&amp;B2449,"有道")</f>
        <v/>
      </c>
    </row>
    <row customHeight="1" ht="71.25" r="2450">
      <c r="B2450" s="1" t="inlineStr">
        <is>
          <t>sag</t>
        </is>
      </c>
      <c r="C2450" s="7">
        <f>"v. （尤指由于承重或受压）中间下垂，下凹；减弱；（身体某部位）松弛；萎靡；衰退，下跌"&amp;CHAR(10)&amp;"n. （虚弱或重压引起的）下弯，下垂；下垂度；（尤指暂时的）下降，萧条"</f>
        <v/>
      </c>
      <c r="G2450" s="18">
        <f>HYPERLINK("D:\python\英语学习\voices\"&amp;B2450&amp;"_1.mp3","BrE")</f>
        <v/>
      </c>
      <c r="H2450" s="18">
        <f>HYPERLINK("D:\python\英语学习\voices\"&amp;B2450&amp;"_2.mp3","AmE")</f>
        <v/>
      </c>
      <c r="I2450" s="18">
        <f>HYPERLINK("http://dict.youdao.com/w/"&amp;B2450,"有道")</f>
        <v/>
      </c>
    </row>
    <row customHeight="1" ht="28.5" r="2451">
      <c r="B2451" s="1" t="inlineStr">
        <is>
          <t>sordid</t>
        </is>
      </c>
      <c r="C2451" s="7">
        <f>"adj. 肮脏的；卑鄙的；利欲熏心的；色彩暗淡的"</f>
        <v/>
      </c>
      <c r="G2451" s="18">
        <f>HYPERLINK("D:\python\英语学习\voices\"&amp;B2451&amp;"_1.mp3","BrE")</f>
        <v/>
      </c>
      <c r="H2451" s="18">
        <f>HYPERLINK("D:\python\英语学习\voices\"&amp;B2451&amp;"_2.mp3","AmE")</f>
        <v/>
      </c>
      <c r="I2451" s="18">
        <f>HYPERLINK("http://dict.youdao.com/w/"&amp;B2451,"有道")</f>
        <v/>
      </c>
    </row>
    <row r="2452">
      <c r="B2452" s="1" t="inlineStr">
        <is>
          <t>tableaux</t>
        </is>
      </c>
      <c r="C2452" s="7">
        <f>"n. 舞台造型；静态画面"</f>
        <v/>
      </c>
      <c r="G2452" s="18">
        <f>HYPERLINK("D:\python\英语学习\voices\"&amp;B2452&amp;"_1.mp3","BrE")</f>
        <v/>
      </c>
      <c r="H2452" s="18">
        <f>HYPERLINK("D:\python\英语学习\voices\"&amp;B2452&amp;"_2.mp3","AmE")</f>
        <v/>
      </c>
      <c r="I2452" s="18">
        <f>HYPERLINK("http://dict.youdao.com/w/"&amp;B2452,"有道")</f>
        <v/>
      </c>
    </row>
    <row r="2453">
      <c r="B2453" s="1" t="inlineStr">
        <is>
          <t>etymology</t>
        </is>
      </c>
      <c r="C2453" s="7">
        <f>"n. 词源，词源学"</f>
        <v/>
      </c>
      <c r="G2453" s="18">
        <f>HYPERLINK("D:\python\英语学习\voices\"&amp;B2453&amp;"_1.mp3","BrE")</f>
        <v/>
      </c>
      <c r="H2453" s="18">
        <f>HYPERLINK("D:\python\英语学习\voices\"&amp;B2453&amp;"_2.mp3","AmE")</f>
        <v/>
      </c>
      <c r="I2453" s="18">
        <f>HYPERLINK("http://dict.youdao.com/w/"&amp;B2453,"有道")</f>
        <v/>
      </c>
    </row>
    <row customHeight="1" ht="28.5" r="2454">
      <c r="B2454" s="1" t="inlineStr">
        <is>
          <t>pyramidal</t>
        </is>
      </c>
      <c r="C2454" s="7">
        <f>"adj. 锥体的；金字塔形的；角锥状的"&amp;CHAR(10)&amp;"n. 三角骨"</f>
        <v/>
      </c>
      <c r="G2454" s="18">
        <f>HYPERLINK("D:\python\英语学习\voices\"&amp;B2454&amp;"_1.mp3","BrE")</f>
        <v/>
      </c>
      <c r="H2454" s="18">
        <f>HYPERLINK("D:\python\英语学习\voices\"&amp;B2454&amp;"_2.mp3","AmE")</f>
        <v/>
      </c>
      <c r="I2454" s="18">
        <f>HYPERLINK("http://dict.youdao.com/w/"&amp;B2454,"有道")</f>
        <v/>
      </c>
    </row>
    <row customHeight="1" ht="57" r="2455">
      <c r="B2455" s="1" t="inlineStr">
        <is>
          <t>soar</t>
        </is>
      </c>
      <c r="C2455" s="7">
        <f>"vi. 急升，激增；高飞；升空；翱翔；（树木、建筑物等）高耸；（情绪）高涨"&amp;CHAR(10)&amp;"n. 高飞；高涨"&amp;CHAR(10)&amp;"n. (Soar) 人名；（英、葡）索尔"</f>
        <v/>
      </c>
      <c r="G2455" s="18">
        <f>HYPERLINK("D:\python\英语学习\voices\"&amp;B2455&amp;"_1.mp3","BrE")</f>
        <v/>
      </c>
      <c r="H2455" s="18">
        <f>HYPERLINK("D:\python\英语学习\voices\"&amp;B2455&amp;"_2.mp3","AmE")</f>
        <v/>
      </c>
      <c r="I2455" s="18">
        <f>HYPERLINK("http://dict.youdao.com/w/"&amp;B2455,"有道")</f>
        <v/>
      </c>
    </row>
    <row customHeight="1" ht="28.5" r="2456">
      <c r="A2456" s="1" t="inlineStr">
        <is>
          <t>unnecessary</t>
        </is>
      </c>
      <c r="B2456" s="1" t="inlineStr">
        <is>
          <t>lettering</t>
        </is>
      </c>
      <c r="C2456" s="7">
        <f>"n. 刻字；印字；书写的文字"&amp;CHAR(10)&amp;"v. 用字母写；用印刷体写（letter的ing形式）"</f>
        <v/>
      </c>
      <c r="G2456" s="18">
        <f>HYPERLINK("D:\python\英语学习\voices\"&amp;B2456&amp;"_1.mp3","BrE")</f>
        <v/>
      </c>
      <c r="H2456" s="18">
        <f>HYPERLINK("D:\python\英语学习\voices\"&amp;B2456&amp;"_2.mp3","AmE")</f>
        <v/>
      </c>
      <c r="I2456" s="18">
        <f>HYPERLINK("http://dict.youdao.com/w/"&amp;B2456,"有道")</f>
        <v/>
      </c>
    </row>
    <row r="2457">
      <c r="B2457" s="1" t="inlineStr">
        <is>
          <t>ignorance</t>
        </is>
      </c>
      <c r="C2457" s="7">
        <f>"n. 无知，愚昧；不知，不懂"</f>
        <v/>
      </c>
      <c r="G2457" s="18">
        <f>HYPERLINK("D:\python\英语学习\voices\"&amp;B2457&amp;"_1.mp3","BrE")</f>
        <v/>
      </c>
      <c r="H2457" s="18">
        <f>HYPERLINK("D:\python\英语学习\voices\"&amp;B2457&amp;"_2.mp3","AmE")</f>
        <v/>
      </c>
      <c r="I2457" s="18">
        <f>HYPERLINK("http://dict.youdao.com/w/"&amp;B2457,"有道")</f>
        <v/>
      </c>
    </row>
    <row r="2458">
      <c r="A2458" s="1" t="inlineStr">
        <is>
          <t>unnecessary</t>
        </is>
      </c>
      <c r="B2458" s="1" t="inlineStr">
        <is>
          <t>ramifications</t>
        </is>
      </c>
      <c r="C2458" s="7">
        <f>"n. [植] 分枝，分叉（ramification的复数）"</f>
        <v/>
      </c>
      <c r="G2458" s="18">
        <f>HYPERLINK("D:\python\英语学习\voices\"&amp;B2458&amp;"_1.mp3","BrE")</f>
        <v/>
      </c>
      <c r="H2458" s="18">
        <f>HYPERLINK("D:\python\英语学习\voices\"&amp;B2458&amp;"_2.mp3","AmE")</f>
        <v/>
      </c>
      <c r="I2458" s="18">
        <f>HYPERLINK("http://dict.youdao.com/w/"&amp;B2458,"有道")</f>
        <v/>
      </c>
    </row>
    <row customHeight="1" ht="42.75" r="2459">
      <c r="A2459" s="1" t="inlineStr">
        <is>
          <t>unnecessary</t>
        </is>
      </c>
      <c r="B2459" s="1" t="inlineStr">
        <is>
          <t>barbed</t>
        </is>
      </c>
      <c r="C2459" s="7">
        <f>"adj. 有刺的；讽刺的；有倒钩的"&amp;CHAR(10)&amp;"v. 讽刺（barb的过去分词）；装倒钩"&amp;CHAR(10)&amp;"n. (Barbed)人名；(西)巴尔韦德"</f>
        <v/>
      </c>
      <c r="G2459" s="18">
        <f>HYPERLINK("D:\python\英语学习\voices\"&amp;B2459&amp;"_1.mp3","BrE")</f>
        <v/>
      </c>
      <c r="H2459" s="18">
        <f>HYPERLINK("D:\python\英语学习\voices\"&amp;B2459&amp;"_2.mp3","AmE")</f>
        <v/>
      </c>
      <c r="I2459" s="18">
        <f>HYPERLINK("http://dict.youdao.com/w/"&amp;B2459,"有道")</f>
        <v/>
      </c>
    </row>
    <row customHeight="1" ht="43.5" r="2460">
      <c r="B2460" s="1" t="inlineStr">
        <is>
          <t>entanglements</t>
        </is>
      </c>
      <c r="C2460" s="7">
        <f>"n. 纠缠；复杂的情况（entanglement的复数）"</f>
        <v/>
      </c>
      <c r="G2460" s="18">
        <f>HYPERLINK("D:\python\英语学习\voices\"&amp;B2460&amp;"_1.mp3","BrE")</f>
        <v/>
      </c>
      <c r="H2460" s="18">
        <f>HYPERLINK("D:\python\英语学习\voices\"&amp;B2460&amp;"_2.mp3","AmE")</f>
        <v/>
      </c>
      <c r="I2460" s="18">
        <f>HYPERLINK("http://dict.youdao.com/w/"&amp;B2460,"有道")</f>
        <v/>
      </c>
    </row>
    <row customHeight="1" ht="28.5" r="2461">
      <c r="B2461" s="1" t="inlineStr">
        <is>
          <t>truncheon</t>
        </is>
      </c>
      <c r="C2461" s="7">
        <f>"n. 警棍；棍子；权杖"&amp;CHAR(10)&amp;"vt. 用警棍打"</f>
        <v/>
      </c>
      <c r="G2461" s="18">
        <f>HYPERLINK("D:\python\英语学习\voices\"&amp;B2461&amp;"_1.mp3","BrE")</f>
        <v/>
      </c>
      <c r="H2461" s="18">
        <f>HYPERLINK("D:\python\英语学习\voices\"&amp;B2461&amp;"_2.mp3","AmE")</f>
        <v/>
      </c>
      <c r="I2461" s="18">
        <f>HYPERLINK("http://dict.youdao.com/w/"&amp;B2461,"有道")</f>
        <v/>
      </c>
    </row>
    <row customHeight="1" ht="28.5" r="2462">
      <c r="B2462" s="1" t="inlineStr">
        <is>
          <t>gulp</t>
        </is>
      </c>
      <c r="C2462" s="7">
        <f>"v. 狼吞虎咽地吃；大口地吸；哽住；喘不过气"&amp;CHAR(10)&amp;"n. 一大口（尤指液体）；吞饮的量；吞咽"</f>
        <v/>
      </c>
      <c r="G2462" s="18">
        <f>HYPERLINK("D:\python\英语学习\voices\"&amp;B2462&amp;"_1.mp3","BrE")</f>
        <v/>
      </c>
      <c r="H2462" s="18">
        <f>HYPERLINK("D:\python\英语学习\voices\"&amp;B2462&amp;"_2.mp3","AmE")</f>
        <v/>
      </c>
      <c r="I2462" s="18">
        <f>HYPERLINK("http://dict.youdao.com/w/"&amp;B2462,"有道")</f>
        <v/>
      </c>
    </row>
    <row customHeight="1" ht="71.25" r="2463">
      <c r="B2463" s="1" t="inlineStr">
        <is>
          <t>dose</t>
        </is>
      </c>
      <c r="C2463" s="7">
        <f>"n. 剂量；一剂，一服"&amp;CHAR(10)&amp;"vi. 服药"&amp;CHAR(10)&amp;"vt. 给药；给…服药"&amp;CHAR(10)&amp;"n. (Dose)人名；(德)多泽；(意、西、葡、塞)多塞；(英)多斯"</f>
        <v/>
      </c>
      <c r="G2463" s="18">
        <f>HYPERLINK("D:\python\英语学习\voices\"&amp;B2463&amp;"_1.mp3","BrE")</f>
        <v/>
      </c>
      <c r="H2463" s="18">
        <f>HYPERLINK("D:\python\英语学习\voices\"&amp;B2463&amp;"_2.mp3","AmE")</f>
        <v/>
      </c>
      <c r="I2463" s="18">
        <f>HYPERLINK("http://dict.youdao.com/w/"&amp;B2463,"有道")</f>
        <v/>
      </c>
    </row>
    <row r="2464">
      <c r="B2464" s="1" t="inlineStr">
        <is>
          <t>device</t>
        </is>
      </c>
      <c r="C2464" s="7">
        <f>"n. 装置；策略；图案；设备；终端"</f>
        <v/>
      </c>
      <c r="E2464" s="6" t="inlineStr">
        <is>
          <t>注意不是devise，只有名词，设备</t>
        </is>
      </c>
      <c r="G2464" s="18">
        <f>HYPERLINK("D:\python\英语学习\voices\"&amp;B2464&amp;"_1.mp3","BrE")</f>
        <v/>
      </c>
      <c r="H2464" s="18">
        <f>HYPERLINK("D:\python\英语学习\voices\"&amp;B2464&amp;"_2.mp3","AmE")</f>
        <v/>
      </c>
      <c r="I2464" s="18">
        <f>HYPERLINK("http://dict.youdao.com/w/"&amp;B2464,"有道")</f>
        <v/>
      </c>
    </row>
    <row r="2465">
      <c r="A2465" s="1" t="inlineStr">
        <is>
          <t>practice</t>
        </is>
      </c>
      <c r="B2465" s="1" t="inlineStr">
        <is>
          <t>fetching</t>
        </is>
      </c>
      <c r="C2465" s="7">
        <f>"adj. 迷人的；动人的；吸引人的"</f>
        <v/>
      </c>
      <c r="G2465" s="18">
        <f>HYPERLINK("D:\python\英语学习\voices\"&amp;B2465&amp;"_1.mp3","BrE")</f>
        <v/>
      </c>
      <c r="H2465" s="18">
        <f>HYPERLINK("D:\python\英语学习\voices\"&amp;B2465&amp;"_2.mp3","AmE")</f>
        <v/>
      </c>
      <c r="I2465" s="18">
        <f>HYPERLINK("http://dict.youdao.com/w/"&amp;B2465,"有道")</f>
        <v/>
      </c>
    </row>
    <row customHeight="1" ht="42.75" r="2466">
      <c r="B2466" s="1" t="inlineStr">
        <is>
          <t>devise</t>
        </is>
      </c>
      <c r="C2466" s="7">
        <f>"vt. 设计；想出；发明；图谋；遗赠给"&amp;CHAR(10)&amp;"n. 遗赠"&amp;CHAR(10)&amp;"n. (Devise) （美、法）德维兹（人名）"</f>
        <v/>
      </c>
      <c r="E2466" s="6" t="inlineStr">
        <is>
          <t>注意和device的差别，没有设备的意思</t>
        </is>
      </c>
      <c r="G2466" s="18">
        <f>HYPERLINK("D:\python\英语学习\voices\"&amp;B2466&amp;"_1.mp3","BrE")</f>
        <v/>
      </c>
      <c r="H2466" s="18">
        <f>HYPERLINK("D:\python\英语学习\voices\"&amp;B2466&amp;"_2.mp3","AmE")</f>
        <v/>
      </c>
      <c r="I2466" s="18">
        <f>HYPERLINK("http://dict.youdao.com/w/"&amp;B2466,"有道")</f>
        <v/>
      </c>
    </row>
    <row customHeight="1" ht="28.5" r="2467">
      <c r="B2467" s="1" t="inlineStr">
        <is>
          <t>precedent</t>
        </is>
      </c>
      <c r="C2467" s="7">
        <f>"n. 先例；前例"&amp;CHAR(10)&amp;"adj. 在前的；在先的"</f>
        <v/>
      </c>
      <c r="G2467" s="18">
        <f>HYPERLINK("D:\python\英语学习\voices\"&amp;B2467&amp;"_1.mp3","BrE")</f>
        <v/>
      </c>
      <c r="H2467" s="18">
        <f>HYPERLINK("D:\python\英语学习\voices\"&amp;B2467&amp;"_2.mp3","AmE")</f>
        <v/>
      </c>
      <c r="I2467" s="18">
        <f>HYPERLINK("http://dict.youdao.com/w/"&amp;B2467,"有道")</f>
        <v/>
      </c>
    </row>
    <row r="2468">
      <c r="B2468" s="1" t="inlineStr">
        <is>
          <t>peroration</t>
        </is>
      </c>
      <c r="C2468" s="7">
        <f>"n. 结束语；结论；夸夸其谈"</f>
        <v/>
      </c>
      <c r="G2468" s="18">
        <f>HYPERLINK("D:\python\英语学习\voices\"&amp;B2468&amp;"_1.mp3","BrE")</f>
        <v/>
      </c>
      <c r="H2468" s="18">
        <f>HYPERLINK("D:\python\英语学习\voices\"&amp;B2468&amp;"_2.mp3","AmE")</f>
        <v/>
      </c>
      <c r="I2468" s="18">
        <f>HYPERLINK("http://dict.youdao.com/w/"&amp;B2468,"有道")</f>
        <v/>
      </c>
    </row>
    <row r="2469">
      <c r="B2469" s="1" t="inlineStr">
        <is>
          <t>verdict</t>
        </is>
      </c>
      <c r="C2469" s="7">
        <f>"n. 结论；裁定"</f>
        <v/>
      </c>
      <c r="G2469" s="18">
        <f>HYPERLINK("D:\python\英语学习\voices\"&amp;B2469&amp;"_1.mp3","BrE")</f>
        <v/>
      </c>
      <c r="H2469" s="18">
        <f>HYPERLINK("D:\python\英语学习\voices\"&amp;B2469&amp;"_2.mp3","AmE")</f>
        <v/>
      </c>
      <c r="I2469" s="18">
        <f>HYPERLINK("http://dict.youdao.com/w/"&amp;B2469,"有道")</f>
        <v/>
      </c>
    </row>
    <row customHeight="1" ht="42.75" r="2470">
      <c r="B2470" s="1" t="inlineStr">
        <is>
          <t>premise</t>
        </is>
      </c>
      <c r="C2470" s="7">
        <f>"n. 前提，假定；（常复数）商店、餐馆、公司等使用的房屋及土地；（常复数）上诉各项"&amp;CHAR(10)&amp;"v. 以……为前提；引出，预先提出；说明"</f>
        <v/>
      </c>
      <c r="G2470" s="18">
        <f>HYPERLINK("D:\python\英语学习\voices\"&amp;B2470&amp;"_1.mp3","BrE")</f>
        <v/>
      </c>
      <c r="H2470" s="18">
        <f>HYPERLINK("D:\python\英语学习\voices\"&amp;B2470&amp;"_2.mp3","AmE")</f>
        <v/>
      </c>
      <c r="I2470" s="18">
        <f>HYPERLINK("http://dict.youdao.com/w/"&amp;B2470,"有道")</f>
        <v/>
      </c>
    </row>
    <row customHeight="1" ht="28.5" r="2471">
      <c r="B2471" s="1" t="inlineStr">
        <is>
          <t>precondition</t>
        </is>
      </c>
      <c r="C2471" s="7">
        <f>"n. 前提；先决条件"&amp;CHAR(10)&amp;"vt. 预处理；事先准备"</f>
        <v/>
      </c>
      <c r="G2471" s="18">
        <f>HYPERLINK("D:\python\英语学习\voices\"&amp;B2471&amp;"_1.mp3","BrE")</f>
        <v/>
      </c>
      <c r="H2471" s="18">
        <f>HYPERLINK("D:\python\英语学习\voices\"&amp;B2471&amp;"_2.mp3","AmE")</f>
        <v/>
      </c>
      <c r="I2471" s="18">
        <f>HYPERLINK("http://dict.youdao.com/w/"&amp;B2471,"有道")</f>
        <v/>
      </c>
    </row>
    <row r="2472">
      <c r="B2472" s="1" t="inlineStr">
        <is>
          <t>presupposition</t>
        </is>
      </c>
      <c r="C2472" s="7">
        <f>"n. 假定；预想；臆测"</f>
        <v/>
      </c>
      <c r="G2472" s="18">
        <f>HYPERLINK("D:\python\英语学习\voices\"&amp;B2472&amp;"_1.mp3","BrE")</f>
        <v/>
      </c>
      <c r="H2472" s="18">
        <f>HYPERLINK("D:\python\英语学习\voices\"&amp;B2472&amp;"_2.mp3","AmE")</f>
        <v/>
      </c>
      <c r="I2472" s="18">
        <f>HYPERLINK("http://dict.youdao.com/w/"&amp;B2472,"有道")</f>
        <v/>
      </c>
    </row>
    <row customHeight="1" ht="71.25" r="2473">
      <c r="B2473" s="1" t="inlineStr">
        <is>
          <t>ditto</t>
        </is>
      </c>
      <c r="C2473" s="7">
        <f>"n. 同上；同上符号；很相似的人或物"&amp;CHAR(10)&amp;"vt. 重复；照抄"&amp;CHAR(10)&amp;"adv. 同上地"&amp;CHAR(10)&amp;"adj. 相似的"&amp;CHAR(10)&amp;"n. (Ditto)人名；(法)迪托"</f>
        <v/>
      </c>
      <c r="G2473" s="18">
        <f>HYPERLINK("D:\python\英语学习\voices\"&amp;B2473&amp;"_1.mp3","BrE")</f>
        <v/>
      </c>
      <c r="H2473" s="18">
        <f>HYPERLINK("D:\python\英语学习\voices\"&amp;B2473&amp;"_2.mp3","AmE")</f>
        <v/>
      </c>
      <c r="I2473" s="18">
        <f>HYPERLINK("http://dict.youdao.com/w/"&amp;B2473,"有道")</f>
        <v/>
      </c>
    </row>
    <row customHeight="1" ht="28.5" r="2474">
      <c r="B2474" s="1" t="inlineStr">
        <is>
          <t>polytechnic</t>
        </is>
      </c>
      <c r="C2474" s="7">
        <f>"adj. 各种工艺的；综合技术的"&amp;CHAR(10)&amp;"n. 工艺学校；理工专科学校"</f>
        <v/>
      </c>
      <c r="E2474" s="6" t="inlineStr">
        <is>
          <t>综合理工大学</t>
        </is>
      </c>
      <c r="G2474" s="18">
        <f>HYPERLINK("D:\python\英语学习\voices\"&amp;B2474&amp;"_1.mp3","BrE")</f>
        <v/>
      </c>
      <c r="H2474" s="18">
        <f>HYPERLINK("D:\python\英语学习\voices\"&amp;B2474&amp;"_2.mp3","AmE")</f>
        <v/>
      </c>
      <c r="I2474" s="18">
        <f>HYPERLINK("http://dict.youdao.com/w/"&amp;B2474,"有道")</f>
        <v/>
      </c>
    </row>
    <row customHeight="1" ht="28.5" r="2475">
      <c r="B2475" s="1" t="inlineStr">
        <is>
          <t>lilo</t>
        </is>
      </c>
      <c r="C2475" s="7">
        <f>"n. 气垫；气垫床；充气床"&amp;CHAR(10)&amp;"n. (Lilo)人名；(德、塞)利洛"</f>
        <v/>
      </c>
      <c r="G2475" s="18">
        <f>HYPERLINK("D:\python\英语学习\voices\"&amp;B2475&amp;"_1.mp3","BrE")</f>
        <v/>
      </c>
      <c r="H2475" s="18">
        <f>HYPERLINK("D:\python\英语学习\voices\"&amp;B2475&amp;"_2.mp3","AmE")</f>
        <v/>
      </c>
      <c r="I2475" s="18">
        <f>HYPERLINK("http://dict.youdao.com/w/"&amp;B2475,"有道")</f>
        <v/>
      </c>
    </row>
    <row r="2476">
      <c r="B2476" s="1" t="inlineStr">
        <is>
          <t>avert</t>
        </is>
      </c>
      <c r="C2476" s="7">
        <f>"vt. 避免，防止；转移"</f>
        <v/>
      </c>
      <c r="G2476" s="18">
        <f>HYPERLINK("D:\python\英语学习\voices\"&amp;B2476&amp;"_1.mp3","BrE")</f>
        <v/>
      </c>
      <c r="H2476" s="18">
        <f>HYPERLINK("D:\python\英语学习\voices\"&amp;B2476&amp;"_2.mp3","AmE")</f>
        <v/>
      </c>
      <c r="I2476" s="18">
        <f>HYPERLINK("http://dict.youdao.com/w/"&amp;B2476,"有道")</f>
        <v/>
      </c>
    </row>
    <row customHeight="1" ht="28.5" r="2477">
      <c r="B2477" s="1" t="inlineStr">
        <is>
          <t>averted</t>
        </is>
      </c>
      <c r="C2477" s="7">
        <f>"adj. 转移的；移开的"&amp;CHAR(10)&amp;"v. 避免（avert的过去分词）；转开"</f>
        <v/>
      </c>
      <c r="G2477" s="18">
        <f>HYPERLINK("D:\python\英语学习\voices\"&amp;B2477&amp;"_1.mp3","BrE")</f>
        <v/>
      </c>
      <c r="H2477" s="18">
        <f>HYPERLINK("D:\python\英语学习\voices\"&amp;B2477&amp;"_2.mp3","AmE")</f>
        <v/>
      </c>
      <c r="I2477" s="18">
        <f>HYPERLINK("http://dict.youdao.com/w/"&amp;B2477,"有道")</f>
        <v/>
      </c>
    </row>
    <row customHeight="1" ht="28.5" r="2478">
      <c r="A2478" s="1" t="inlineStr">
        <is>
          <t>unnecessary</t>
        </is>
      </c>
      <c r="B2478" s="1" t="inlineStr">
        <is>
          <t>coefficient</t>
        </is>
      </c>
      <c r="C2478" s="7">
        <f>"n. [数] 系数；率；协同因素"&amp;CHAR(10)&amp;"adj. 合作的；共同作用的"</f>
        <v/>
      </c>
      <c r="E2478" s="6" t="inlineStr">
        <is>
          <t>协方差</t>
        </is>
      </c>
      <c r="G2478" s="18">
        <f>HYPERLINK("D:\python\英语学习\voices\"&amp;B2478&amp;"_1.mp3","BrE")</f>
        <v/>
      </c>
      <c r="H2478" s="18">
        <f>HYPERLINK("D:\python\英语学习\voices\"&amp;B2478&amp;"_2.mp3","AmE")</f>
        <v/>
      </c>
      <c r="I2478" s="18">
        <f>HYPERLINK("http://dict.youdao.com/w/"&amp;B2478,"有道")</f>
        <v/>
      </c>
    </row>
    <row customHeight="1" ht="28.5" r="2479">
      <c r="B2479" s="1" t="inlineStr">
        <is>
          <t>suffix</t>
        </is>
      </c>
      <c r="C2479" s="7">
        <f>"n. 后缀，词尾"&amp;CHAR(10)&amp;"v. 添后缀"</f>
        <v/>
      </c>
      <c r="G2479" s="18">
        <f>HYPERLINK("D:\python\英语学习\voices\"&amp;B2479&amp;"_1.mp3","BrE")</f>
        <v/>
      </c>
      <c r="H2479" s="18">
        <f>HYPERLINK("D:\python\英语学习\voices\"&amp;B2479&amp;"_2.mp3","AmE")</f>
        <v/>
      </c>
      <c r="I2479" s="18">
        <f>HYPERLINK("http://dict.youdao.com/w/"&amp;B2479,"有道")</f>
        <v/>
      </c>
    </row>
    <row r="2480">
      <c r="B2480" s="1" t="inlineStr">
        <is>
          <t>aptitude</t>
        </is>
      </c>
      <c r="C2480" s="7">
        <f>"n. 天资；自然倾向；适宜"</f>
        <v/>
      </c>
      <c r="E2480" s="6" t="inlineStr">
        <is>
          <t>天资、才能</t>
        </is>
      </c>
      <c r="G2480" s="18">
        <f>HYPERLINK("D:\python\英语学习\voices\"&amp;B2480&amp;"_1.mp3","BrE")</f>
        <v/>
      </c>
      <c r="H2480" s="18">
        <f>HYPERLINK("D:\python\英语学习\voices\"&amp;B2480&amp;"_2.mp3","AmE")</f>
        <v/>
      </c>
      <c r="I2480" s="18">
        <f>HYPERLINK("http://dict.youdao.com/w/"&amp;B2480,"有道")</f>
        <v/>
      </c>
    </row>
    <row r="2481">
      <c r="A2481" s="1" t="inlineStr">
        <is>
          <t>unnecessary</t>
        </is>
      </c>
      <c r="B2481" s="1" t="inlineStr">
        <is>
          <t>annoited</t>
        </is>
      </c>
      <c r="C2481" s="7">
        <f>"vt. 涂油"</f>
        <v/>
      </c>
      <c r="E2481" s="6" t="inlineStr">
        <is>
          <t>带宗教色彩</t>
        </is>
      </c>
      <c r="G2481" s="18">
        <f>HYPERLINK("D:\python\英语学习\voices\"&amp;B2481&amp;"_1.mp3","BrE")</f>
        <v/>
      </c>
      <c r="H2481" s="18">
        <f>HYPERLINK("D:\python\英语学习\voices\"&amp;B2481&amp;"_2.mp3","AmE")</f>
        <v/>
      </c>
      <c r="I2481" s="18">
        <f>HYPERLINK("http://dict.youdao.com/w/"&amp;B2481,"有道")</f>
        <v/>
      </c>
    </row>
    <row customHeight="1" ht="28.5" r="2482">
      <c r="A2482" s="1" t="inlineStr">
        <is>
          <t>practice</t>
        </is>
      </c>
      <c r="B2482" s="1" t="inlineStr">
        <is>
          <t>profile</t>
        </is>
      </c>
      <c r="C2482" s="7">
        <f>"n. 侧面；轮廓；外形；剖面；简况"&amp;CHAR(10)&amp;"vt. 描…的轮廓；扼要描述"&amp;CHAR(10)&amp;"vi. 给出轮廓"</f>
        <v/>
      </c>
      <c r="E2482" s="6" t="inlineStr">
        <is>
          <t>好多意思</t>
        </is>
      </c>
      <c r="G2482" s="18">
        <f>HYPERLINK("D:\python\英语学习\voices\"&amp;B2482&amp;"_1.mp3","BrE")</f>
        <v/>
      </c>
      <c r="H2482" s="18">
        <f>HYPERLINK("D:\python\英语学习\voices\"&amp;B2482&amp;"_2.mp3","AmE")</f>
        <v/>
      </c>
      <c r="I2482" s="18">
        <f>HYPERLINK("http://dict.youdao.com/w/"&amp;B2482,"有道")</f>
        <v/>
      </c>
    </row>
    <row customHeight="1" ht="42.75" r="2483">
      <c r="A2483" s="1" t="inlineStr">
        <is>
          <t>practice</t>
        </is>
      </c>
      <c r="B2483" s="1" t="inlineStr">
        <is>
          <t>utility</t>
        </is>
      </c>
      <c r="C2483" s="7">
        <f>"n. 实用；效用；公共设施；功用"&amp;CHAR(10)&amp;"adj. 实用的；通用的；有多种用途的"</f>
        <v/>
      </c>
      <c r="G2483" s="18">
        <f>HYPERLINK("D:\python\英语学习\voices\"&amp;B2483&amp;"_1.mp3","BrE")</f>
        <v/>
      </c>
      <c r="H2483" s="18">
        <f>HYPERLINK("D:\python\英语学习\voices\"&amp;B2483&amp;"_2.mp3","AmE")</f>
        <v/>
      </c>
      <c r="I2483" s="18">
        <f>HYPERLINK("http://dict.youdao.com/w/"&amp;B2483,"有道")</f>
        <v/>
      </c>
    </row>
    <row r="2484">
      <c r="A2484" s="1" t="inlineStr">
        <is>
          <t>unnecessary</t>
        </is>
      </c>
      <c r="B2484" s="1" t="inlineStr">
        <is>
          <t>acrylic</t>
        </is>
      </c>
      <c r="C2484" s="7">
        <f>"adj. 丙烯酸的"</f>
        <v/>
      </c>
      <c r="G2484" s="18">
        <f>HYPERLINK("D:\python\英语学习\voices\"&amp;B2484&amp;"_1.mp3","BrE")</f>
        <v/>
      </c>
      <c r="H2484" s="18">
        <f>HYPERLINK("D:\python\英语学习\voices\"&amp;B2484&amp;"_2.mp3","AmE")</f>
        <v/>
      </c>
      <c r="I2484" s="18">
        <f>HYPERLINK("http://dict.youdao.com/w/"&amp;B2484,"有道")</f>
        <v/>
      </c>
    </row>
    <row r="2485">
      <c r="B2485" s="1" t="inlineStr">
        <is>
          <t>consultant</t>
        </is>
      </c>
      <c r="C2485" s="7">
        <f>"n. 顾问；咨询者；会诊医生"</f>
        <v/>
      </c>
      <c r="G2485" s="18">
        <f>HYPERLINK("D:\python\英语学习\voices\"&amp;B2485&amp;"_1.mp3","BrE")</f>
        <v/>
      </c>
      <c r="H2485" s="18">
        <f>HYPERLINK("D:\python\英语学习\voices\"&amp;B2485&amp;"_2.mp3","AmE")</f>
        <v/>
      </c>
      <c r="I2485" s="18">
        <f>HYPERLINK("http://dict.youdao.com/w/"&amp;B2485,"有道")</f>
        <v/>
      </c>
    </row>
    <row customHeight="1" ht="42.75" r="2486">
      <c r="B2486" s="1" t="inlineStr">
        <is>
          <t>sewer</t>
        </is>
      </c>
      <c r="C2486" s="7">
        <f>"n. 下水道；阴沟；裁缝师"&amp;CHAR(10)&amp;"vt. 为…铺设污水管道；用下水道排除…的污水"&amp;CHAR(10)&amp;"vi. 清洗污水管"</f>
        <v/>
      </c>
      <c r="G2486" s="18">
        <f>HYPERLINK("D:\python\英语学习\voices\"&amp;B2486&amp;"_1.mp3","BrE")</f>
        <v/>
      </c>
      <c r="H2486" s="18">
        <f>HYPERLINK("D:\python\英语学习\voices\"&amp;B2486&amp;"_2.mp3","AmE")</f>
        <v/>
      </c>
      <c r="I2486" s="18">
        <f>HYPERLINK("http://dict.youdao.com/w/"&amp;B2486,"有道")</f>
        <v/>
      </c>
    </row>
    <row customHeight="1" ht="42.75" r="2487">
      <c r="B2487" s="1" t="inlineStr">
        <is>
          <t>windmill</t>
        </is>
      </c>
      <c r="C2487" s="7">
        <f>"n. 风车；风车房；旋转玩具；直升飞机"&amp;CHAR(10)&amp;"vt. 使旋转"&amp;CHAR(10)&amp;"vi. 作风车般旋转"</f>
        <v/>
      </c>
      <c r="G2487" s="18">
        <f>HYPERLINK("D:\python\英语学习\voices\"&amp;B2487&amp;"_1.mp3","BrE")</f>
        <v/>
      </c>
      <c r="H2487" s="18">
        <f>HYPERLINK("D:\python\英语学习\voices\"&amp;B2487&amp;"_2.mp3","AmE")</f>
        <v/>
      </c>
      <c r="I2487" s="18">
        <f>HYPERLINK("http://dict.youdao.com/w/"&amp;B2487,"有道")</f>
        <v/>
      </c>
    </row>
    <row customHeight="1" ht="42.75" r="2488">
      <c r="B2488" s="1" t="inlineStr">
        <is>
          <t>exemplify</t>
        </is>
      </c>
      <c r="C2488" s="7">
        <f>"vt. 例证；例示"</f>
        <v/>
      </c>
      <c r="E2488" s="6" t="inlineStr">
        <is>
          <t>'=demonstrate,typify,represent</t>
        </is>
      </c>
      <c r="F2488" s="14">
        <f>"Since the goal of the article is to exemplify the consumption of a JMS message, we skip over the exact implementation of the workflow.
本文的目标是演示如何使用JMS消息，因此我们将跳过工作流的具体实现"</f>
        <v/>
      </c>
      <c r="G2488" s="18">
        <f>HYPERLINK("D:\python\英语学习\voices\"&amp;B2488&amp;"_1.mp3","BrE")</f>
        <v/>
      </c>
      <c r="H2488" s="18">
        <f>HYPERLINK("D:\python\英语学习\voices\"&amp;B2488&amp;"_2.mp3","AmE")</f>
        <v/>
      </c>
      <c r="I2488" s="18">
        <f>HYPERLINK("http://dict.youdao.com/w/"&amp;B2488,"有道")</f>
        <v/>
      </c>
    </row>
    <row r="2489">
      <c r="B2489" s="1" t="inlineStr">
        <is>
          <t>hypothetic</t>
        </is>
      </c>
      <c r="C2489" s="7">
        <f>"adj. 假设的；假定的"</f>
        <v/>
      </c>
      <c r="E2489" s="16" t="inlineStr">
        <is>
          <t>to cause severe and overwhelming shock or grief</t>
        </is>
      </c>
      <c r="G2489" s="18">
        <f>HYPERLINK("D:\python\英语学习\voices\"&amp;B2489&amp;"_1.mp3","BrE")</f>
        <v/>
      </c>
      <c r="H2489" s="18">
        <f>HYPERLINK("D:\python\英语学习\voices\"&amp;B2489&amp;"_2.mp3","AmE")</f>
        <v/>
      </c>
      <c r="I2489" s="18">
        <f>HYPERLINK("http://dict.youdao.com/w/"&amp;B2489,"有道")</f>
        <v/>
      </c>
    </row>
    <row customHeight="1" ht="85.5" r="2490">
      <c r="B2490" s="1" t="inlineStr">
        <is>
          <t>brute</t>
        </is>
      </c>
      <c r="C2490" s="7">
        <f>"n. 残酷的人，暴君；令人不快的人；麻木不仁的人；大野兽，牲畜；笨重难看的东西，麻烦事"&amp;CHAR(10)&amp;"adj. 蛮干不动脑筋的；根本而令人不快的，赤裸裸的；不理智的，野兽似的；严酷的；基本的；不可避免的；纯粹的，绝对的"</f>
        <v/>
      </c>
      <c r="G2490" s="18">
        <f>HYPERLINK("D:\python\英语学习\voices\"&amp;B2490&amp;"_1.mp3","BrE")</f>
        <v/>
      </c>
      <c r="H2490" s="18">
        <f>HYPERLINK("D:\python\英语学习\voices\"&amp;B2490&amp;"_2.mp3","AmE")</f>
        <v/>
      </c>
      <c r="I2490" s="18">
        <f>HYPERLINK("http://dict.youdao.com/w/"&amp;B2490,"有道")</f>
        <v/>
      </c>
    </row>
    <row customHeight="1" ht="42.75" r="2491">
      <c r="B2491" s="1" t="inlineStr">
        <is>
          <t>devastated</t>
        </is>
      </c>
      <c r="C2491" s="7">
        <f>"adj. 极为震惊的，极度不安的"&amp;CHAR(10)&amp;"v. 毁坏，摧毁；使震惊，使极为悲痛（devastate 的过去式和过去分词）"</f>
        <v/>
      </c>
      <c r="G2491" s="18">
        <f>HYPERLINK("D:\python\英语学习\voices\"&amp;B2491&amp;"_1.mp3","BrE")</f>
        <v/>
      </c>
      <c r="H2491" s="18">
        <f>HYPERLINK("D:\python\英语学习\voices\"&amp;B2491&amp;"_2.mp3","AmE")</f>
        <v/>
      </c>
      <c r="I2491" s="18">
        <f>HYPERLINK("http://dict.youdao.com/w/"&amp;B2491,"有道")</f>
        <v/>
      </c>
    </row>
    <row customHeight="1" ht="42.75" r="2492">
      <c r="A2492" s="1" t="inlineStr">
        <is>
          <t>practice</t>
        </is>
      </c>
      <c r="B2492" s="1" t="inlineStr">
        <is>
          <t>capacity</t>
        </is>
      </c>
      <c r="C2492" s="7">
        <f>"n. 能力；容量；资格，地位；生产力"</f>
        <v/>
      </c>
      <c r="E2492" s="6" t="inlineStr">
        <is>
          <t>好多意思</t>
        </is>
      </c>
      <c r="G2492" s="18">
        <f>HYPERLINK("D:\python\英语学习\voices\"&amp;B2492&amp;"_1.mp3","BrE")</f>
        <v/>
      </c>
      <c r="H2492" s="18">
        <f>HYPERLINK("D:\python\英语学习\voices\"&amp;B2492&amp;"_2.mp3","AmE")</f>
        <v/>
      </c>
      <c r="I2492" s="18">
        <f>HYPERLINK("http://dict.youdao.com/w/"&amp;B2492,"有道")</f>
        <v/>
      </c>
    </row>
    <row customHeight="1" ht="28.5" r="2493">
      <c r="B2493" s="1" t="inlineStr">
        <is>
          <t>acquittal</t>
        </is>
      </c>
      <c r="C2493" s="7">
        <f>"n. 赦免；无罪开释；履行；尽职；（债务等的）清偿"</f>
        <v/>
      </c>
      <c r="G2493" s="18">
        <f>HYPERLINK("D:\python\英语学习\voices\"&amp;B2493&amp;"_1.mp3","BrE")</f>
        <v/>
      </c>
      <c r="H2493" s="18">
        <f>HYPERLINK("D:\python\英语学习\voices\"&amp;B2493&amp;"_2.mp3","AmE")</f>
        <v/>
      </c>
      <c r="I2493" s="18">
        <f>HYPERLINK("http://dict.youdao.com/w/"&amp;B2493,"有道")</f>
        <v/>
      </c>
    </row>
    <row customHeight="1" ht="28.5" r="2494">
      <c r="B2494" s="1" t="inlineStr">
        <is>
          <t>adorn</t>
        </is>
      </c>
      <c r="C2494" s="7">
        <f>"vt. 装饰；使生色"&amp;CHAR(10)&amp;"n. (Adorn) （美、印）阿隆（人名）"</f>
        <v/>
      </c>
      <c r="G2494" s="18">
        <f>HYPERLINK("D:\python\英语学习\voices\"&amp;B2494&amp;"_1.mp3","BrE")</f>
        <v/>
      </c>
      <c r="H2494" s="18">
        <f>HYPERLINK("D:\python\英语学习\voices\"&amp;B2494&amp;"_2.mp3","AmE")</f>
        <v/>
      </c>
      <c r="I2494" s="18">
        <f>HYPERLINK("http://dict.youdao.com/w/"&amp;B2494,"有道")</f>
        <v/>
      </c>
    </row>
    <row r="2495">
      <c r="A2495" s="1" t="inlineStr">
        <is>
          <t>practice</t>
        </is>
      </c>
      <c r="B2495" s="1" t="inlineStr">
        <is>
          <t>counterpart</t>
        </is>
      </c>
      <c r="C2495" s="7">
        <f>"n. 副本；配对物；极相似的人或物"</f>
        <v/>
      </c>
      <c r="G2495" s="18">
        <f>HYPERLINK("D:\python\英语学习\voices\"&amp;B2495&amp;"_1.mp3","BrE")</f>
        <v/>
      </c>
      <c r="H2495" s="18">
        <f>HYPERLINK("D:\python\英语学习\voices\"&amp;B2495&amp;"_2.mp3","AmE")</f>
        <v/>
      </c>
      <c r="I2495" s="18">
        <f>HYPERLINK("http://dict.youdao.com/w/"&amp;B2495,"有道")</f>
        <v/>
      </c>
    </row>
    <row customHeight="1" ht="29.1" r="2496">
      <c r="B2496" s="1" t="inlineStr">
        <is>
          <t>aesthetic</t>
        </is>
      </c>
      <c r="C2496" s="7">
        <f>"adj. 美的；美学的；审美的，具有审美趣味的"</f>
        <v/>
      </c>
      <c r="G2496" s="18">
        <f>HYPERLINK("D:\python\英语学习\voices\"&amp;B2496&amp;"_1.mp3","BrE")</f>
        <v/>
      </c>
      <c r="H2496" s="18">
        <f>HYPERLINK("D:\python\英语学习\voices\"&amp;B2496&amp;"_2.mp3","AmE")</f>
        <v/>
      </c>
      <c r="I2496" s="18">
        <f>HYPERLINK("http://dict.youdao.com/w/"&amp;B2496,"有道")</f>
        <v/>
      </c>
    </row>
    <row customHeight="1" ht="28.5" r="2497">
      <c r="B2497" s="1" t="inlineStr">
        <is>
          <t>affronted</t>
        </is>
      </c>
      <c r="C2497" s="7">
        <f>"adj. 被冒犯的；被侮辱的"&amp;CHAR(10)&amp;"v. 公开侮辱；冒犯（affront的过去分词）"</f>
        <v/>
      </c>
      <c r="G2497" s="18">
        <f>HYPERLINK("D:\python\英语学习\voices\"&amp;B2497&amp;"_1.mp3","BrE")</f>
        <v/>
      </c>
      <c r="H2497" s="18">
        <f>HYPERLINK("D:\python\英语学习\voices\"&amp;B2497&amp;"_2.mp3","AmE")</f>
        <v/>
      </c>
      <c r="I2497" s="18">
        <f>HYPERLINK("http://dict.youdao.com/w/"&amp;B2497,"有道")</f>
        <v/>
      </c>
    </row>
    <row customHeight="1" ht="42.75" r="2498">
      <c r="B2498" s="1" t="inlineStr">
        <is>
          <t>akin</t>
        </is>
      </c>
      <c r="C2498" s="7">
        <f>"adj. 类似的；同类的；同族的"&amp;CHAR(10)&amp;"n. (Akin)人名；(土、瑞典、尼日利)阿金；(匈)奥金；(英)埃金"</f>
        <v/>
      </c>
      <c r="G2498" s="18">
        <f>HYPERLINK("D:\python\英语学习\voices\"&amp;B2498&amp;"_1.mp3","BrE")</f>
        <v/>
      </c>
      <c r="H2498" s="18">
        <f>HYPERLINK("D:\python\英语学习\voices\"&amp;B2498&amp;"_2.mp3","AmE")</f>
        <v/>
      </c>
      <c r="I2498" s="18">
        <f>HYPERLINK("http://dict.youdao.com/w/"&amp;B2498,"有道")</f>
        <v/>
      </c>
    </row>
    <row customHeight="1" ht="28.5" r="2499">
      <c r="B2499" s="1" t="inlineStr">
        <is>
          <t>antagonise</t>
        </is>
      </c>
      <c r="C2499" s="7">
        <f>"vt. 使敌对；抵销"&amp;CHAR(10)&amp;"vi. 引起对抗/反感"</f>
        <v/>
      </c>
      <c r="G2499" s="18">
        <f>HYPERLINK("D:\python\英语学习\voices\"&amp;B2499&amp;"_1.mp3","BrE")</f>
        <v/>
      </c>
      <c r="H2499" s="18">
        <f>HYPERLINK("D:\python\英语学习\voices\"&amp;B2499&amp;"_2.mp3","AmE")</f>
        <v/>
      </c>
      <c r="I2499" s="18">
        <f>HYPERLINK("http://dict.youdao.com/w/"&amp;B2499,"有道")</f>
        <v/>
      </c>
    </row>
    <row r="2500">
      <c r="B2500" s="1" t="inlineStr">
        <is>
          <t>apathy</t>
        </is>
      </c>
      <c r="C2500" s="7">
        <f>"n. 冷漠，无兴趣，漠不关心；无感情"</f>
        <v/>
      </c>
      <c r="G2500" s="18">
        <f>HYPERLINK("D:\python\英语学习\voices\"&amp;B2500&amp;"_1.mp3","BrE")</f>
        <v/>
      </c>
      <c r="H2500" s="18">
        <f>HYPERLINK("D:\python\英语学习\voices\"&amp;B2500&amp;"_2.mp3","AmE")</f>
        <v/>
      </c>
      <c r="I2500" s="18">
        <f>HYPERLINK("http://dict.youdao.com/w/"&amp;B2500,"有道")</f>
        <v/>
      </c>
    </row>
    <row customHeight="1" ht="28.5" r="2501">
      <c r="B2501" s="1" t="inlineStr">
        <is>
          <t>arson</t>
        </is>
      </c>
      <c r="C2501" s="7">
        <f>"n. 纵火；纵火罪"&amp;CHAR(10)&amp;"n. (Arson)人名；(法)阿尔松"</f>
        <v/>
      </c>
      <c r="G2501" s="18">
        <f>HYPERLINK("D:\python\英语学习\voices\"&amp;B2501&amp;"_1.mp3","BrE")</f>
        <v/>
      </c>
      <c r="H2501" s="18">
        <f>HYPERLINK("D:\python\英语学习\voices\"&amp;B2501&amp;"_2.mp3","AmE")</f>
        <v/>
      </c>
      <c r="I2501" s="18">
        <f>HYPERLINK("http://dict.youdao.com/w/"&amp;B2501,"有道")</f>
        <v/>
      </c>
    </row>
    <row customHeight="1" ht="71.25" r="2502">
      <c r="A2502" t="inlineStr">
        <is>
          <t>practice</t>
        </is>
      </c>
      <c r="B2502" s="1" t="inlineStr">
        <is>
          <t>confine</t>
        </is>
      </c>
      <c r="C2502" s="7">
        <f>"n. 界限，边界;约束；限制"&amp;CHAR(10)&amp;"vt. 限制；禁闭"</f>
        <v/>
      </c>
      <c r="G2502" s="18">
        <f>HYPERLINK("D:\python\英语学习\voices\"&amp;B2502&amp;"_1.mp3","BrE")</f>
        <v/>
      </c>
      <c r="H2502" s="18">
        <f>HYPERLINK("D:\python\英语学习\voices\"&amp;B2502&amp;"_2.mp3","AmE")</f>
        <v/>
      </c>
      <c r="I2502" s="18">
        <f>HYPERLINK("http://dict.youdao.com/w/"&amp;B2502,"有道")</f>
        <v/>
      </c>
    </row>
    <row customHeight="1" ht="28.5" r="2503">
      <c r="B2503" s="1" t="inlineStr">
        <is>
          <t>assailant</t>
        </is>
      </c>
      <c r="C2503" s="7">
        <f>"n. 攻击者"&amp;CHAR(10)&amp;"adj. 袭击的；攻击的"</f>
        <v/>
      </c>
      <c r="G2503" s="18">
        <f>HYPERLINK("D:\python\英语学习\voices\"&amp;B2503&amp;"_1.mp3","BrE")</f>
        <v/>
      </c>
      <c r="H2503" s="18">
        <f>HYPERLINK("D:\python\英语学习\voices\"&amp;B2503&amp;"_2.mp3","AmE")</f>
        <v/>
      </c>
      <c r="I2503" s="18">
        <f>HYPERLINK("http://dict.youdao.com/w/"&amp;B2503,"有道")</f>
        <v/>
      </c>
    </row>
    <row customHeight="1" ht="28.5" r="2504">
      <c r="B2504" s="1" t="inlineStr">
        <is>
          <t>backtrack</t>
        </is>
      </c>
      <c r="C2504" s="7">
        <f>"vi. [计] 回溯；由原路返回；放弃"&amp;CHAR(10)&amp;"vt. 追踪；循迹调查"</f>
        <v/>
      </c>
      <c r="G2504" s="18">
        <f>HYPERLINK("D:\python\英语学习\voices\"&amp;B2504&amp;"_1.mp3","BrE")</f>
        <v/>
      </c>
      <c r="H2504" s="18">
        <f>HYPERLINK("D:\python\英语学习\voices\"&amp;B2504&amp;"_2.mp3","AmE")</f>
        <v/>
      </c>
      <c r="I2504" s="18">
        <f>HYPERLINK("http://dict.youdao.com/w/"&amp;B2504,"有道")</f>
        <v/>
      </c>
    </row>
    <row r="2505">
      <c r="B2505" s="1" t="inlineStr">
        <is>
          <t>ballistic</t>
        </is>
      </c>
      <c r="C2505" s="7">
        <f>"adj. 弹道的；射击的"</f>
        <v/>
      </c>
      <c r="E2505" s="6" t="inlineStr">
        <is>
          <t>go ballistic 勃然大怒</t>
        </is>
      </c>
      <c r="G2505" s="18">
        <f>HYPERLINK("D:\python\英语学习\voices\"&amp;B2505&amp;"_1.mp3","BrE")</f>
        <v/>
      </c>
      <c r="H2505" s="18">
        <f>HYPERLINK("D:\python\英语学习\voices\"&amp;B2505&amp;"_2.mp3","AmE")</f>
        <v/>
      </c>
      <c r="I2505" s="18">
        <f>HYPERLINK("http://dict.youdao.com/w/"&amp;B2505,"有道")</f>
        <v/>
      </c>
    </row>
    <row customHeight="1" ht="28.5" r="2506">
      <c r="B2506" s="1" t="inlineStr">
        <is>
          <t>baton</t>
        </is>
      </c>
      <c r="C2506" s="7">
        <f>"n. 指挥棒；接力棒；警棍；司令棒"&amp;CHAR(10)&amp;"n. (Baton)人名；(法)巴东；(阿尔巴)巴唐"</f>
        <v/>
      </c>
      <c r="G2506" s="18">
        <f>HYPERLINK("D:\python\英语学习\voices\"&amp;B2506&amp;"_1.mp3","BrE")</f>
        <v/>
      </c>
      <c r="H2506" s="18">
        <f>HYPERLINK("D:\python\英语学习\voices\"&amp;B2506&amp;"_2.mp3","AmE")</f>
        <v/>
      </c>
      <c r="I2506" s="18">
        <f>HYPERLINK("http://dict.youdao.com/w/"&amp;B2506,"有道")</f>
        <v/>
      </c>
    </row>
    <row r="2507">
      <c r="B2507" s="1" t="inlineStr">
        <is>
          <t>carnage</t>
        </is>
      </c>
      <c r="C2507" s="7">
        <f>"n. 大屠杀；残杀；大量绝灭"</f>
        <v/>
      </c>
      <c r="G2507" s="18">
        <f>HYPERLINK("D:\python\英语学习\voices\"&amp;B2507&amp;"_1.mp3","BrE")</f>
        <v/>
      </c>
      <c r="H2507" s="18">
        <f>HYPERLINK("D:\python\英语学习\voices\"&amp;B2507&amp;"_2.mp3","AmE")</f>
        <v/>
      </c>
      <c r="I2507" s="18">
        <f>HYPERLINK("http://dict.youdao.com/w/"&amp;B2507,"有道")</f>
        <v/>
      </c>
    </row>
    <row customHeight="1" ht="42.75" r="2508">
      <c r="B2508" s="1" t="inlineStr">
        <is>
          <t>chic</t>
        </is>
      </c>
      <c r="C2508" s="7">
        <f>"adj. 优雅时髦的"&amp;CHAR(10)&amp;"n. 时髦，特种风格"&amp;CHAR(10)&amp;"n. (Chic) （美）奇克（人名）"</f>
        <v/>
      </c>
      <c r="G2508" s="18">
        <f>HYPERLINK("D:\python\英语学习\voices\"&amp;B2508&amp;"_1.mp3","BrE")</f>
        <v/>
      </c>
      <c r="H2508" s="18">
        <f>HYPERLINK("D:\python\英语学习\voices\"&amp;B2508&amp;"_2.mp3","AmE")</f>
        <v/>
      </c>
      <c r="I2508" s="18">
        <f>HYPERLINK("http://dict.youdao.com/w/"&amp;B2508,"有道")</f>
        <v/>
      </c>
    </row>
    <row customHeight="1" ht="42.75" r="2509">
      <c r="B2509" s="1" t="inlineStr">
        <is>
          <t>centrist</t>
        </is>
      </c>
      <c r="C2509" s="7">
        <f>"adj. 持温和政治观点的；主张温和政策的"&amp;CHAR(10)&amp;"n. 中立派议员；中间派议员；持温和政治观点者"</f>
        <v/>
      </c>
      <c r="E2509" s="6" t="inlineStr">
        <is>
          <t>政治色彩</t>
        </is>
      </c>
      <c r="G2509" s="18">
        <f>HYPERLINK("D:\python\英语学习\voices\"&amp;B2509&amp;"_1.mp3","BrE")</f>
        <v/>
      </c>
      <c r="H2509" s="18">
        <f>HYPERLINK("D:\python\英语学习\voices\"&amp;B2509&amp;"_2.mp3","AmE")</f>
        <v/>
      </c>
      <c r="I2509" s="18">
        <f>HYPERLINK("http://dict.youdao.com/w/"&amp;B2509,"有道")</f>
        <v/>
      </c>
    </row>
    <row customHeight="1" ht="42.75" r="2510">
      <c r="B2510" s="1" t="inlineStr">
        <is>
          <t>cleave</t>
        </is>
      </c>
      <c r="C2510" s="7">
        <f>"vi. 裂开；披荆斩棘地前进；粘住；坚持"&amp;CHAR(10)&amp;"vt. 砍开；使分开；打通"&amp;CHAR(10)&amp;"n. (Cleave)人名；(英)克利夫"</f>
        <v/>
      </c>
      <c r="G2510" s="18">
        <f>HYPERLINK("D:\python\英语学习\voices\"&amp;B2510&amp;"_1.mp3","BrE")</f>
        <v/>
      </c>
      <c r="H2510" s="18">
        <f>HYPERLINK("D:\python\英语学习\voices\"&amp;B2510&amp;"_2.mp3","AmE")</f>
        <v/>
      </c>
      <c r="I2510" s="18">
        <f>HYPERLINK("http://dict.youdao.com/w/"&amp;B2510,"有道")</f>
        <v/>
      </c>
    </row>
    <row customHeight="1" ht="28.5" r="2511">
      <c r="B2511" s="1" t="inlineStr">
        <is>
          <t>coalesce</t>
        </is>
      </c>
      <c r="C2511" s="7">
        <f>"vi. 合并；结合；联合"&amp;CHAR(10)&amp;"vt. 使…联合；使…合并"</f>
        <v/>
      </c>
      <c r="E2511" t="inlineStr">
        <is>
          <t>注意拼写，注意发音-重音在l
coalesce with/into sth</t>
        </is>
      </c>
      <c r="G2511" s="18">
        <f>HYPERLINK("D:\python\英语学习\voices\"&amp;B2511&amp;"_1.mp3","BrE")</f>
        <v/>
      </c>
      <c r="H2511" s="18">
        <f>HYPERLINK("D:\python\英语学习\voices\"&amp;B2511&amp;"_2.mp3","AmE")</f>
        <v/>
      </c>
      <c r="I2511" s="18">
        <f>HYPERLINK("http://dict.youdao.com/w/"&amp;B2511,"有道")</f>
        <v/>
      </c>
    </row>
    <row customHeight="1" ht="28.5" r="2512">
      <c r="B2512" s="1" t="inlineStr">
        <is>
          <t>coalescing</t>
        </is>
      </c>
      <c r="C2512" s="7">
        <f>"v. 合并，联合（coalesce 的现在分词）"&amp;CHAR(10)&amp;"adj. 聚结的"</f>
        <v/>
      </c>
      <c r="G2512" s="18">
        <f>HYPERLINK("D:\python\英语学习\voices\"&amp;B2512&amp;"_1.mp3","BrE")</f>
        <v/>
      </c>
      <c r="H2512" s="18">
        <f>HYPERLINK("D:\python\英语学习\voices\"&amp;B2512&amp;"_2.mp3","AmE")</f>
        <v/>
      </c>
      <c r="I2512" s="18">
        <f>HYPERLINK("http://dict.youdao.com/w/"&amp;B2512,"有道")</f>
        <v/>
      </c>
    </row>
    <row r="2513">
      <c r="A2513" s="1" t="inlineStr">
        <is>
          <t>unnecessary</t>
        </is>
      </c>
      <c r="B2513" s="1" t="inlineStr">
        <is>
          <t>cockpit</t>
        </is>
      </c>
      <c r="C2513" s="7">
        <f>"n. 驾驶员座舱；战场"</f>
        <v/>
      </c>
      <c r="G2513" s="18">
        <f>HYPERLINK("D:\python\英语学习\voices\"&amp;B2513&amp;"_1.mp3","BrE")</f>
        <v/>
      </c>
      <c r="H2513" s="18">
        <f>HYPERLINK("D:\python\英语学习\voices\"&amp;B2513&amp;"_2.mp3","AmE")</f>
        <v/>
      </c>
      <c r="I2513" s="18">
        <f>HYPERLINK("http://dict.youdao.com/w/"&amp;B2513,"有道")</f>
        <v/>
      </c>
    </row>
    <row r="2514">
      <c r="B2514" s="1" t="inlineStr">
        <is>
          <t>codex</t>
        </is>
      </c>
      <c r="C2514" s="7">
        <f>"n. 法典；古抄本；药典"</f>
        <v/>
      </c>
      <c r="G2514" s="18">
        <f>HYPERLINK("D:\python\英语学习\voices\"&amp;B2514&amp;"_1.mp3","BrE")</f>
        <v/>
      </c>
      <c r="H2514" s="18">
        <f>HYPERLINK("D:\python\英语学习\voices\"&amp;B2514&amp;"_2.mp3","AmE")</f>
        <v/>
      </c>
      <c r="I2514" s="18">
        <f>HYPERLINK("http://dict.youdao.com/w/"&amp;B2514,"有道")</f>
        <v/>
      </c>
    </row>
    <row customHeight="1" ht="28.5" r="2515">
      <c r="B2515" s="1" t="inlineStr">
        <is>
          <t>coffer</t>
        </is>
      </c>
      <c r="C2515" s="7">
        <f>"n. 围堰；保险箱；金库；资金"&amp;CHAR(10)&amp;"vt. 把…放进箱柜；用平顶镶板装饰"</f>
        <v/>
      </c>
      <c r="G2515" s="18">
        <f>HYPERLINK("D:\python\英语学习\voices\"&amp;B2515&amp;"_1.mp3","BrE")</f>
        <v/>
      </c>
      <c r="H2515" s="18">
        <f>HYPERLINK("D:\python\英语学习\voices\"&amp;B2515&amp;"_2.mp3","AmE")</f>
        <v/>
      </c>
      <c r="I2515" s="18">
        <f>HYPERLINK("http://dict.youdao.com/w/"&amp;B2515,"有道")</f>
        <v/>
      </c>
    </row>
    <row customHeight="1" ht="57" r="2516">
      <c r="A2516" s="1" t="inlineStr">
        <is>
          <t>practice</t>
        </is>
      </c>
      <c r="B2516" s="1" t="inlineStr">
        <is>
          <t>prevail</t>
        </is>
      </c>
      <c r="C2516" s="7">
        <f>"vi. 盛行，流行；战胜，获胜"</f>
        <v/>
      </c>
      <c r="E2516" s="7" t="inlineStr">
        <is>
          <t>xxx have been prevailing among…
truth will prevail真理必胜</t>
        </is>
      </c>
      <c r="G2516" s="18">
        <f>HYPERLINK("D:\python\英语学习\voices\"&amp;B2516&amp;"_1.mp3","BrE")</f>
        <v/>
      </c>
      <c r="H2516" s="18">
        <f>HYPERLINK("D:\python\英语学习\voices\"&amp;B2516&amp;"_2.mp3","AmE")</f>
        <v/>
      </c>
      <c r="I2516" s="18">
        <f>HYPERLINK("http://dict.youdao.com/w/"&amp;B2516,"有道")</f>
        <v/>
      </c>
    </row>
    <row customHeight="1" ht="28.5" r="2517">
      <c r="B2517" s="1" t="inlineStr">
        <is>
          <t>convoluted</t>
        </is>
      </c>
      <c r="C2517" s="7">
        <f>"adj. 复杂的；费解的；旋绕的"&amp;CHAR(10)&amp;"v. 盘绕；缠绕（convolute的过去分词）"</f>
        <v/>
      </c>
      <c r="G2517" s="18">
        <f>HYPERLINK("D:\python\英语学习\voices\"&amp;B2517&amp;"_1.mp3","BrE")</f>
        <v/>
      </c>
      <c r="H2517" s="18">
        <f>HYPERLINK("D:\python\英语学习\voices\"&amp;B2517&amp;"_2.mp3","AmE")</f>
        <v/>
      </c>
      <c r="I2517" s="18">
        <f>HYPERLINK("http://dict.youdao.com/w/"&amp;B2517,"有道")</f>
        <v/>
      </c>
    </row>
    <row r="2518">
      <c r="B2518" s="1" t="inlineStr">
        <is>
          <t>cultivate</t>
        </is>
      </c>
      <c r="C2518" s="7">
        <f>"vt. 培养；陶冶；耕作"</f>
        <v/>
      </c>
      <c r="G2518" s="18">
        <f>HYPERLINK("D:\python\英语学习\voices\"&amp;B2518&amp;"_1.mp3","BrE")</f>
        <v/>
      </c>
      <c r="H2518" s="18">
        <f>HYPERLINK("D:\python\英语学习\voices\"&amp;B2518&amp;"_2.mp3","AmE")</f>
        <v/>
      </c>
      <c r="I2518" s="18">
        <f>HYPERLINK("http://dict.youdao.com/w/"&amp;B2518,"有道")</f>
        <v/>
      </c>
    </row>
    <row customHeight="1" ht="28.5" r="2519">
      <c r="B2519" s="1" t="inlineStr">
        <is>
          <t>daubing</t>
        </is>
      </c>
      <c r="C2519" s="7">
        <f>"n. 涂抹（炉衬的局部修理）；火砖灰修补"&amp;CHAR(10)&amp;"v. 涂抹；玷污；假装（daub的ing形式）"</f>
        <v/>
      </c>
      <c r="G2519" s="18">
        <f>HYPERLINK("D:\python\英语学习\voices\"&amp;B2519&amp;"_1.mp3","BrE")</f>
        <v/>
      </c>
      <c r="H2519" s="18">
        <f>HYPERLINK("D:\python\英语学习\voices\"&amp;B2519&amp;"_2.mp3","AmE")</f>
        <v/>
      </c>
      <c r="I2519" s="18">
        <f>HYPERLINK("http://dict.youdao.com/w/"&amp;B2519,"有道")</f>
        <v/>
      </c>
    </row>
    <row r="2520">
      <c r="B2520" s="1" t="inlineStr">
        <is>
          <t>decency</t>
        </is>
      </c>
      <c r="C2520" s="7">
        <f>"n. 正派；体面；庄重；合乎礼仪；礼貌"</f>
        <v/>
      </c>
      <c r="G2520" s="18">
        <f>HYPERLINK("D:\python\英语学习\voices\"&amp;B2520&amp;"_1.mp3","BrE")</f>
        <v/>
      </c>
      <c r="H2520" s="18">
        <f>HYPERLINK("D:\python\英语学习\voices\"&amp;B2520&amp;"_2.mp3","AmE")</f>
        <v/>
      </c>
      <c r="I2520" s="18">
        <f>HYPERLINK("http://dict.youdao.com/w/"&amp;B2520,"有道")</f>
        <v/>
      </c>
    </row>
    <row r="2521">
      <c r="B2521" s="1" t="inlineStr">
        <is>
          <t>defiance</t>
        </is>
      </c>
      <c r="C2521" s="7">
        <f>"n. 蔑视；挑战；反抗"</f>
        <v/>
      </c>
      <c r="G2521" s="18">
        <f>HYPERLINK("D:\python\英语学习\voices\"&amp;B2521&amp;"_1.mp3","BrE")</f>
        <v/>
      </c>
      <c r="H2521" s="18">
        <f>HYPERLINK("D:\python\英语学习\voices\"&amp;B2521&amp;"_2.mp3","AmE")</f>
        <v/>
      </c>
      <c r="I2521" s="18">
        <f>HYPERLINK("http://dict.youdao.com/w/"&amp;B2521,"有道")</f>
        <v/>
      </c>
    </row>
    <row r="2522">
      <c r="B2522" s="1" t="inlineStr">
        <is>
          <t>deradicalisation</t>
        </is>
      </c>
      <c r="C2522" s="7">
        <f>"放弃激进主义"</f>
        <v/>
      </c>
      <c r="G2522" s="18">
        <f>HYPERLINK("D:\python\英语学习\voices\"&amp;B2522&amp;"_1.mp3","BrE")</f>
        <v/>
      </c>
      <c r="H2522" s="18">
        <f>HYPERLINK("D:\python\英语学习\voices\"&amp;B2522&amp;"_2.mp3","AmE")</f>
        <v/>
      </c>
      <c r="I2522" s="18">
        <f>HYPERLINK("http://dict.youdao.com/w/"&amp;B2522,"有道")</f>
        <v/>
      </c>
    </row>
    <row customHeight="1" ht="28.5" r="2523">
      <c r="B2523" s="1" t="inlineStr">
        <is>
          <t>deradicalize</t>
        </is>
      </c>
      <c r="C2523" s="7">
        <f>"使放弃政治上过激的立场"&amp;CHAR(10)&amp;"使非激进化"</f>
        <v/>
      </c>
      <c r="G2523" s="18">
        <f>HYPERLINK("D:\python\英语学习\voices\"&amp;B2523&amp;"_1.mp3","BrE")</f>
        <v/>
      </c>
      <c r="H2523" s="18">
        <f>HYPERLINK("D:\python\英语学习\voices\"&amp;B2523&amp;"_2.mp3","AmE")</f>
        <v/>
      </c>
      <c r="I2523" s="18">
        <f>HYPERLINK("http://dict.youdao.com/w/"&amp;B2523,"有道")</f>
        <v/>
      </c>
    </row>
    <row r="2524">
      <c r="B2524" s="1" t="inlineStr">
        <is>
          <t>draconian</t>
        </is>
      </c>
      <c r="C2524" s="7">
        <f>"adj. 严厉的，苛刻的"</f>
        <v/>
      </c>
      <c r="G2524" s="18">
        <f>HYPERLINK("D:\python\英语学习\voices\"&amp;B2524&amp;"_1.mp3","BrE")</f>
        <v/>
      </c>
      <c r="H2524" s="18">
        <f>HYPERLINK("D:\python\英语学习\voices\"&amp;B2524&amp;"_2.mp3","AmE")</f>
        <v/>
      </c>
      <c r="I2524" s="18">
        <f>HYPERLINK("http://dict.youdao.com/w/"&amp;B2524,"有道")</f>
        <v/>
      </c>
    </row>
    <row customHeight="1" ht="28.5" r="2525">
      <c r="B2525" s="1" t="inlineStr">
        <is>
          <t>emblazoned</t>
        </is>
      </c>
      <c r="C2525" s="7">
        <f>"adj. 装饰的；饰以纹章的"&amp;CHAR(10)&amp;"v. 饰以纹章（emblazon的过去式）"</f>
        <v/>
      </c>
      <c r="G2525" s="18">
        <f>HYPERLINK("D:\python\英语学习\voices\"&amp;B2525&amp;"_1.mp3","BrE")</f>
        <v/>
      </c>
      <c r="H2525" s="18">
        <f>HYPERLINK("D:\python\英语学习\voices\"&amp;B2525&amp;"_2.mp3","AmE")</f>
        <v/>
      </c>
      <c r="I2525" s="18">
        <f>HYPERLINK("http://dict.youdao.com/w/"&amp;B2525,"有道")</f>
        <v/>
      </c>
    </row>
    <row customHeight="1" ht="42.75" r="2526">
      <c r="A2526" s="1" t="inlineStr">
        <is>
          <t>unnecessary</t>
        </is>
      </c>
      <c r="B2526" s="1" t="inlineStr">
        <is>
          <t>erratical</t>
        </is>
      </c>
      <c r="C2526" s="7">
        <f>"反常的"&amp;CHAR(10)&amp;"漂游的"&amp;CHAR(10)&amp;"错误的"</f>
        <v/>
      </c>
      <c r="E2526" s="6" t="inlineStr">
        <is>
          <t>bing查无此词，只有erratic和erratically</t>
        </is>
      </c>
      <c r="G2526" s="18">
        <f>HYPERLINK("D:\python\英语学习\voices\"&amp;B2526&amp;"_1.mp3","BrE")</f>
        <v/>
      </c>
      <c r="H2526" s="18">
        <f>HYPERLINK("D:\python\英语学习\voices\"&amp;B2526&amp;"_2.mp3","AmE")</f>
        <v/>
      </c>
      <c r="I2526" s="18">
        <f>HYPERLINK("http://dict.youdao.com/w/"&amp;B2526,"有道")</f>
        <v/>
      </c>
    </row>
    <row customHeight="1" ht="57" r="2527">
      <c r="B2527" s="1" t="inlineStr">
        <is>
          <t>fasting</t>
        </is>
      </c>
      <c r="C2527" s="7">
        <f>"n. 禁食；斋戒"&amp;CHAR(10)&amp;"adj. 禁食的；空腹的"&amp;CHAR(10)&amp;"v. 斋戒；节制饮食（fast的ing形式）"&amp;CHAR(10)&amp;"n. (Fasting)人名；(丹、挪)法斯廷"</f>
        <v/>
      </c>
      <c r="G2527" s="18">
        <f>HYPERLINK("D:\python\英语学习\voices\"&amp;B2527&amp;"_1.mp3","BrE")</f>
        <v/>
      </c>
      <c r="H2527" s="18">
        <f>HYPERLINK("D:\python\英语学习\voices\"&amp;B2527&amp;"_2.mp3","AmE")</f>
        <v/>
      </c>
      <c r="I2527" s="18">
        <f>HYPERLINK("http://dict.youdao.com/w/"&amp;B2527,"有道")</f>
        <v/>
      </c>
    </row>
    <row customHeight="1" ht="29.1" r="2528">
      <c r="B2528" s="1" t="inlineStr">
        <is>
          <t>flouting</t>
        </is>
      </c>
      <c r="C2528" s="7">
        <f>"v. 公然藐视，无视；嘲笑（flout 的现在分词）"</f>
        <v/>
      </c>
      <c r="G2528" s="18">
        <f>HYPERLINK("D:\python\英语学习\voices\"&amp;B2528&amp;"_1.mp3","BrE")</f>
        <v/>
      </c>
      <c r="H2528" s="18">
        <f>HYPERLINK("D:\python\英语学习\voices\"&amp;B2528&amp;"_2.mp3","AmE")</f>
        <v/>
      </c>
      <c r="I2528" s="18">
        <f>HYPERLINK("http://dict.youdao.com/w/"&amp;B2528,"有道")</f>
        <v/>
      </c>
    </row>
    <row r="2529">
      <c r="B2529" s="1" t="inlineStr">
        <is>
          <t>frontrunner</t>
        </is>
      </c>
      <c r="C2529" s="7">
        <f>"n. 领跑者"</f>
        <v/>
      </c>
      <c r="G2529" s="18">
        <f>HYPERLINK("D:\python\英语学习\voices\"&amp;B2529&amp;"_1.mp3","BrE")</f>
        <v/>
      </c>
      <c r="H2529" s="18">
        <f>HYPERLINK("D:\python\英语学习\voices\"&amp;B2529&amp;"_2.mp3","AmE")</f>
        <v/>
      </c>
      <c r="I2529" s="18">
        <f>HYPERLINK("http://dict.youdao.com/w/"&amp;B2529,"有道")</f>
        <v/>
      </c>
    </row>
    <row r="2530">
      <c r="B2530" s="1" t="inlineStr">
        <is>
          <t>gastrointestinal</t>
        </is>
      </c>
      <c r="C2530" s="7">
        <f>"adj. 胃肠的"</f>
        <v/>
      </c>
      <c r="E2530" s="6" t="inlineStr">
        <is>
          <t>gastro-intestinal 胃 肠</t>
        </is>
      </c>
      <c r="G2530" s="18">
        <f>HYPERLINK("D:\python\英语学习\voices\"&amp;B2530&amp;"_1.mp3","BrE")</f>
        <v/>
      </c>
      <c r="H2530" s="18">
        <f>HYPERLINK("D:\python\英语学习\voices\"&amp;B2530&amp;"_2.mp3","AmE")</f>
        <v/>
      </c>
      <c r="I2530" s="18">
        <f>HYPERLINK("http://dict.youdao.com/w/"&amp;B2530,"有道")</f>
        <v/>
      </c>
    </row>
    <row customHeight="1" ht="42.75" r="2531">
      <c r="B2531" s="1" t="inlineStr">
        <is>
          <t>humdrum</t>
        </is>
      </c>
      <c r="C2531" s="7">
        <f>"adj. 单调的；无聊的"&amp;CHAR(10)&amp;"n. 单调；乏味"&amp;CHAR(10)&amp;"vi. 单调乏味地进行"</f>
        <v/>
      </c>
      <c r="G2531" s="18">
        <f>HYPERLINK("D:\python\英语学习\voices\"&amp;B2531&amp;"_1.mp3","BrE")</f>
        <v/>
      </c>
      <c r="H2531" s="18">
        <f>HYPERLINK("D:\python\英语学习\voices\"&amp;B2531&amp;"_2.mp3","AmE")</f>
        <v/>
      </c>
      <c r="I2531" s="18">
        <f>HYPERLINK("http://dict.youdao.com/w/"&amp;B2531,"有道")</f>
        <v/>
      </c>
    </row>
    <row r="2532">
      <c r="B2532" s="1" t="inlineStr">
        <is>
          <t>ideological</t>
        </is>
      </c>
      <c r="C2532" s="7">
        <f>"adj. 思想的；意识形态的"</f>
        <v/>
      </c>
      <c r="G2532" s="18">
        <f>HYPERLINK("D:\python\英语学习\voices\"&amp;B2532&amp;"_1.mp3","BrE")</f>
        <v/>
      </c>
      <c r="H2532" s="18">
        <f>HYPERLINK("D:\python\英语学习\voices\"&amp;B2532&amp;"_2.mp3","AmE")</f>
        <v/>
      </c>
      <c r="I2532" s="18">
        <f>HYPERLINK("http://dict.youdao.com/w/"&amp;B2532,"有道")</f>
        <v/>
      </c>
    </row>
    <row customHeight="1" ht="28.5" r="2533">
      <c r="B2533" s="1" t="inlineStr">
        <is>
          <t>impeach</t>
        </is>
      </c>
      <c r="C2533" s="7">
        <f>"vt. 弹劾；归咎；怀疑"&amp;CHAR(10)&amp;"n. 控告，检举；弹劾；怀疑"</f>
        <v/>
      </c>
      <c r="G2533" s="18">
        <f>HYPERLINK("D:\python\英语学习\voices\"&amp;B2533&amp;"_1.mp3","BrE")</f>
        <v/>
      </c>
      <c r="H2533" s="18">
        <f>HYPERLINK("D:\python\英语学习\voices\"&amp;B2533&amp;"_2.mp3","AmE")</f>
        <v/>
      </c>
      <c r="I2533" s="18">
        <f>HYPERLINK("http://dict.youdao.com/w/"&amp;B2533,"有道")</f>
        <v/>
      </c>
    </row>
    <row r="2534">
      <c r="B2534" s="1" t="inlineStr">
        <is>
          <t>impeachment</t>
        </is>
      </c>
      <c r="C2534" s="7">
        <f>"n. 弹劾；控告；怀疑；指摘"</f>
        <v/>
      </c>
      <c r="G2534" s="18">
        <f>HYPERLINK("D:\python\英语学习\voices\"&amp;B2534&amp;"_1.mp3","BrE")</f>
        <v/>
      </c>
      <c r="H2534" s="18">
        <f>HYPERLINK("D:\python\英语学习\voices\"&amp;B2534&amp;"_2.mp3","AmE")</f>
        <v/>
      </c>
      <c r="I2534" s="18">
        <f>HYPERLINK("http://dict.youdao.com/w/"&amp;B2534,"有道")</f>
        <v/>
      </c>
    </row>
    <row r="2535">
      <c r="B2535" s="1" t="inlineStr">
        <is>
          <t>advertently</t>
        </is>
      </c>
      <c r="C2535" s="7">
        <f>"adv.谨慎地；注意地；小心地"</f>
        <v/>
      </c>
      <c r="G2535" s="18">
        <f>HYPERLINK("D:\python\英语学习\voices\"&amp;B2535&amp;"_1.mp3","BrE")</f>
        <v/>
      </c>
      <c r="H2535" s="18">
        <f>HYPERLINK("D:\python\英语学习\voices\"&amp;B2535&amp;"_2.mp3","AmE")</f>
        <v/>
      </c>
      <c r="I2535" s="18">
        <f>HYPERLINK("http://dict.youdao.com/w/"&amp;B2535,"有道")</f>
        <v/>
      </c>
    </row>
    <row r="2536">
      <c r="B2536" s="1" t="inlineStr">
        <is>
          <t>inauguration</t>
        </is>
      </c>
      <c r="C2536" s="7">
        <f>"n. 就职典礼；开始，开创；开幕式"</f>
        <v/>
      </c>
      <c r="G2536" s="18">
        <f>HYPERLINK("D:\python\英语学习\voices\"&amp;B2536&amp;"_1.mp3","BrE")</f>
        <v/>
      </c>
      <c r="H2536" s="18">
        <f>HYPERLINK("D:\python\英语学习\voices\"&amp;B2536&amp;"_2.mp3","AmE")</f>
        <v/>
      </c>
      <c r="I2536" s="18">
        <f>HYPERLINK("http://dict.youdao.com/w/"&amp;B2536,"有道")</f>
        <v/>
      </c>
    </row>
    <row r="2537">
      <c r="B2537" s="1" t="inlineStr">
        <is>
          <t>incarceration</t>
        </is>
      </c>
      <c r="C2537" s="7">
        <f>"n. 监禁；下狱；禁闭"</f>
        <v/>
      </c>
      <c r="G2537" s="18">
        <f>HYPERLINK("D:\python\英语学习\voices\"&amp;B2537&amp;"_1.mp3","BrE")</f>
        <v/>
      </c>
      <c r="H2537" s="18">
        <f>HYPERLINK("D:\python\英语学习\voices\"&amp;B2537&amp;"_2.mp3","AmE")</f>
        <v/>
      </c>
      <c r="I2537" s="18">
        <f>HYPERLINK("http://dict.youdao.com/w/"&amp;B2537,"有道")</f>
        <v/>
      </c>
    </row>
    <row r="2538">
      <c r="B2538" s="1" t="inlineStr">
        <is>
          <t>incest</t>
        </is>
      </c>
      <c r="C2538" s="7">
        <f>"n. 乱伦；近亲通婚"</f>
        <v/>
      </c>
      <c r="G2538" s="18">
        <f>HYPERLINK("D:\python\英语学习\voices\"&amp;B2538&amp;"_1.mp3","BrE")</f>
        <v/>
      </c>
      <c r="H2538" s="18">
        <f>HYPERLINK("D:\python\英语学习\voices\"&amp;B2538&amp;"_2.mp3","AmE")</f>
        <v/>
      </c>
      <c r="I2538" s="18">
        <f>HYPERLINK("http://dict.youdao.com/w/"&amp;B2538,"有道")</f>
        <v/>
      </c>
    </row>
    <row r="2539">
      <c r="B2539" s="1" t="inlineStr">
        <is>
          <t>incite</t>
        </is>
      </c>
      <c r="C2539" s="7">
        <f>"vt. 煽动；激励；刺激"</f>
        <v/>
      </c>
      <c r="G2539" s="18">
        <f>HYPERLINK("D:\python\英语学习\voices\"&amp;B2539&amp;"_1.mp3","BrE")</f>
        <v/>
      </c>
      <c r="H2539" s="18">
        <f>HYPERLINK("D:\python\英语学习\voices\"&amp;B2539&amp;"_2.mp3","AmE")</f>
        <v/>
      </c>
      <c r="I2539" s="18">
        <f>HYPERLINK("http://dict.youdao.com/w/"&amp;B2539,"有道")</f>
        <v/>
      </c>
    </row>
    <row r="2540">
      <c r="B2540" s="1" t="inlineStr">
        <is>
          <t>incitement</t>
        </is>
      </c>
      <c r="C2540" s="7">
        <f>"n. 煽动，刺激；激励物"</f>
        <v/>
      </c>
      <c r="G2540" s="18">
        <f>HYPERLINK("D:\python\英语学习\voices\"&amp;B2540&amp;"_1.mp3","BrE")</f>
        <v/>
      </c>
      <c r="H2540" s="18">
        <f>HYPERLINK("D:\python\英语学习\voices\"&amp;B2540&amp;"_2.mp3","AmE")</f>
        <v/>
      </c>
      <c r="I2540" s="18">
        <f>HYPERLINK("http://dict.youdao.com/w/"&amp;B2540,"有道")</f>
        <v/>
      </c>
    </row>
    <row customHeight="1" ht="28.5" r="2541">
      <c r="B2541" s="1" t="inlineStr">
        <is>
          <t>inciting</t>
        </is>
      </c>
      <c r="C2541" s="7">
        <f>"adj. 煽动的；刺激的"&amp;CHAR(10)&amp;"v. 煽动（incite的ing形式）；刺激，激励"</f>
        <v/>
      </c>
      <c r="G2541" s="18">
        <f>HYPERLINK("D:\python\英语学习\voices\"&amp;B2541&amp;"_1.mp3","BrE")</f>
        <v/>
      </c>
      <c r="H2541" s="18">
        <f>HYPERLINK("D:\python\英语学习\voices\"&amp;B2541&amp;"_2.mp3","AmE")</f>
        <v/>
      </c>
      <c r="I2541" s="18">
        <f>HYPERLINK("http://dict.youdao.com/w/"&amp;B2541,"有道")</f>
        <v/>
      </c>
    </row>
    <row customHeight="1" ht="28.5" r="2542">
      <c r="B2542" s="1" t="inlineStr">
        <is>
          <t>inmate</t>
        </is>
      </c>
      <c r="C2542" s="7">
        <f>"n. (尤指)同院病人；同狱犯人；同被(收容所)收容者"</f>
        <v/>
      </c>
      <c r="G2542" s="18">
        <f>HYPERLINK("D:\python\英语学习\voices\"&amp;B2542&amp;"_1.mp3","BrE")</f>
        <v/>
      </c>
      <c r="H2542" s="18">
        <f>HYPERLINK("D:\python\英语学习\voices\"&amp;B2542&amp;"_2.mp3","AmE")</f>
        <v/>
      </c>
      <c r="I2542" s="18">
        <f>HYPERLINK("http://dict.youdao.com/w/"&amp;B2542,"有道")</f>
        <v/>
      </c>
    </row>
    <row r="2543">
      <c r="B2543" s="1" t="inlineStr">
        <is>
          <t>intermittent</t>
        </is>
      </c>
      <c r="C2543" s="7">
        <f>"adj. 间歇的；断断续续的；间歇性"</f>
        <v/>
      </c>
      <c r="G2543" s="18">
        <f>HYPERLINK("D:\python\英语学习\voices\"&amp;B2543&amp;"_1.mp3","BrE")</f>
        <v/>
      </c>
      <c r="H2543" s="18">
        <f>HYPERLINK("D:\python\英语学习\voices\"&amp;B2543&amp;"_2.mp3","AmE")</f>
        <v/>
      </c>
      <c r="I2543" s="18">
        <f>HYPERLINK("http://dict.youdao.com/w/"&amp;B2543,"有道")</f>
        <v/>
      </c>
    </row>
    <row customHeight="1" ht="42.75" r="2544">
      <c r="B2544" s="1" t="inlineStr">
        <is>
          <t>introvert</t>
        </is>
      </c>
      <c r="C2544" s="7">
        <f>"n. 内向的人；内翻的东西"&amp;CHAR(10)&amp;"v. 成为内弯；使内弯，使内倾"&amp;CHAR(10)&amp;"adj. 内向的；内弯的"</f>
        <v/>
      </c>
      <c r="G2544" s="18">
        <f>HYPERLINK("D:\python\英语学习\voices\"&amp;B2544&amp;"_1.mp3","BrE")</f>
        <v/>
      </c>
      <c r="H2544" s="18">
        <f>HYPERLINK("D:\python\英语学习\voices\"&amp;B2544&amp;"_2.mp3","AmE")</f>
        <v/>
      </c>
      <c r="I2544" s="18">
        <f>HYPERLINK("http://dict.youdao.com/w/"&amp;B2544,"有道")</f>
        <v/>
      </c>
    </row>
    <row customHeight="1" ht="42.75" r="2545">
      <c r="B2545" s="1" t="inlineStr">
        <is>
          <t>introverted</t>
        </is>
      </c>
      <c r="C2545" s="7">
        <f>"adj. 内向的"&amp;CHAR(10)&amp;"v. 使...内向（introvert的过去分词形式）；使内翻"</f>
        <v/>
      </c>
      <c r="G2545" s="18">
        <f>HYPERLINK("D:\python\英语学习\voices\"&amp;B2545&amp;"_1.mp3","BrE")</f>
        <v/>
      </c>
      <c r="H2545" s="18">
        <f>HYPERLINK("D:\python\英语学习\voices\"&amp;B2545&amp;"_2.mp3","AmE")</f>
        <v/>
      </c>
      <c r="I2545" s="18">
        <f>HYPERLINK("http://dict.youdao.com/w/"&amp;B2545,"有道")</f>
        <v/>
      </c>
    </row>
    <row r="2546">
      <c r="B2546" s="1" t="inlineStr">
        <is>
          <t>irreconcilable</t>
        </is>
      </c>
      <c r="C2546" s="7">
        <f>"adj. 矛盾的；不能和解的；不能协调的"</f>
        <v/>
      </c>
      <c r="G2546" s="18">
        <f>HYPERLINK("D:\python\英语学习\voices\"&amp;B2546&amp;"_1.mp3","BrE")</f>
        <v/>
      </c>
      <c r="H2546" s="18">
        <f>HYPERLINK("D:\python\英语学习\voices\"&amp;B2546&amp;"_2.mp3","AmE")</f>
        <v/>
      </c>
      <c r="I2546" s="18">
        <f>HYPERLINK("http://dict.youdao.com/w/"&amp;B2546,"有道")</f>
        <v/>
      </c>
    </row>
    <row r="2547">
      <c r="B2547" s="1" t="inlineStr">
        <is>
          <t>reconcilable</t>
        </is>
      </c>
      <c r="C2547" s="7">
        <f>"adj. 不矛盾的；可和解的；可调和的"</f>
        <v/>
      </c>
      <c r="G2547" s="18">
        <f>HYPERLINK("D:\python\英语学习\voices\"&amp;B2547&amp;"_1.mp3","BrE")</f>
        <v/>
      </c>
      <c r="H2547" s="18">
        <f>HYPERLINK("D:\python\英语学习\voices\"&amp;B2547&amp;"_2.mp3","AmE")</f>
        <v/>
      </c>
      <c r="I2547" s="18">
        <f>HYPERLINK("http://dict.youdao.com/w/"&amp;B2547,"有道")</f>
        <v/>
      </c>
    </row>
    <row r="2548">
      <c r="A2548" t="inlineStr">
        <is>
          <t>practice</t>
        </is>
      </c>
      <c r="B2548" s="1" t="inlineStr">
        <is>
          <t>intimidate</t>
        </is>
      </c>
      <c r="C2548" s="7">
        <f>"vt. 恐吓，威胁；胁迫"</f>
        <v/>
      </c>
      <c r="D2548" t="inlineStr">
        <is>
          <t>timid胆小的</t>
        </is>
      </c>
      <c r="G2548" s="18">
        <f>HYPERLINK("D:\python\英语学习\voices\"&amp;B2548&amp;"_1.mp3","BrE")</f>
        <v/>
      </c>
      <c r="H2548" s="18">
        <f>HYPERLINK("D:\python\英语学习\voices\"&amp;B2548&amp;"_2.mp3","AmE")</f>
        <v/>
      </c>
      <c r="I2548" s="18">
        <f>HYPERLINK("http://dict.youdao.com/w/"&amp;B2548,"有道")</f>
        <v/>
      </c>
    </row>
    <row customHeight="1" ht="28.5" r="2549">
      <c r="B2549" s="1" t="inlineStr">
        <is>
          <t>judiciary</t>
        </is>
      </c>
      <c r="C2549" s="7">
        <f>"n. 司法部；法官；司法制度"&amp;CHAR(10)&amp;"adj. 司法的；法官的；法院的"</f>
        <v/>
      </c>
      <c r="G2549" s="18">
        <f>HYPERLINK("D:\python\英语学习\voices\"&amp;B2549&amp;"_1.mp3","BrE")</f>
        <v/>
      </c>
      <c r="H2549" s="18">
        <f>HYPERLINK("D:\python\英语学习\voices\"&amp;B2549&amp;"_2.mp3","AmE")</f>
        <v/>
      </c>
      <c r="I2549" s="18">
        <f>HYPERLINK("http://dict.youdao.com/w/"&amp;B2549,"有道")</f>
        <v/>
      </c>
    </row>
    <row r="2550">
      <c r="B2550" s="1" t="inlineStr">
        <is>
          <t>law-abiding</t>
        </is>
      </c>
      <c r="C2550" s="7">
        <f>"adj. 守法的"</f>
        <v/>
      </c>
      <c r="G2550" s="18">
        <f>HYPERLINK("D:\python\英语学习\voices\"&amp;B2550&amp;"_1.mp3","BrE")</f>
        <v/>
      </c>
      <c r="H2550" s="18">
        <f>HYPERLINK("D:\python\英语学习\voices\"&amp;B2550&amp;"_2.mp3","AmE")</f>
        <v/>
      </c>
      <c r="I2550" s="18">
        <f>HYPERLINK("http://dict.youdao.com/w/"&amp;B2550,"有道")</f>
        <v/>
      </c>
    </row>
    <row customHeight="1" ht="28.5" r="2551">
      <c r="B2551" s="1" t="inlineStr">
        <is>
          <t>diagram</t>
        </is>
      </c>
      <c r="C2551" s="7">
        <f>"n. 图表；图解"&amp;CHAR(10)&amp;"vt. 用图解法表示"</f>
        <v/>
      </c>
      <c r="G2551" s="18">
        <f>HYPERLINK("D:\python\英语学习\voices\"&amp;B2551&amp;"_1.mp3","BrE")</f>
        <v/>
      </c>
      <c r="H2551" s="18">
        <f>HYPERLINK("D:\python\英语学习\voices\"&amp;B2551&amp;"_2.mp3","AmE")</f>
        <v/>
      </c>
      <c r="I2551" s="18">
        <f>HYPERLINK("http://dict.youdao.com/w/"&amp;B2551,"有道")</f>
        <v/>
      </c>
    </row>
    <row r="2552">
      <c r="B2552" s="1" t="inlineStr">
        <is>
          <t>moratorium</t>
        </is>
      </c>
      <c r="C2552" s="7">
        <f>"n. 暂停，中止；[金融] 延期偿付"</f>
        <v/>
      </c>
      <c r="G2552" s="18">
        <f>HYPERLINK("D:\python\英语学习\voices\"&amp;B2552&amp;"_1.mp3","BrE")</f>
        <v/>
      </c>
      <c r="H2552" s="18">
        <f>HYPERLINK("D:\python\英语学习\voices\"&amp;B2552&amp;"_2.mp3","AmE")</f>
        <v/>
      </c>
      <c r="I2552" s="18">
        <f>HYPERLINK("http://dict.youdao.com/w/"&amp;B2552,"有道")</f>
        <v/>
      </c>
    </row>
    <row customHeight="1" ht="57" r="2553">
      <c r="B2553" s="1" t="inlineStr">
        <is>
          <t>mordant</t>
        </is>
      </c>
      <c r="C2553" s="7">
        <f>"adj. 有腐蚀性的；尖酸的；辛辣的"&amp;CHAR(10)&amp;"n. [助剂] 媒染剂；金属腐蚀剂；金属箔粘着剂"&amp;CHAR(10)&amp;"vt. 媒染；用媒染剂处理"&amp;CHAR(10)&amp;"n. (Mordant)人名；(英)莫登特；(法)莫尔当"</f>
        <v/>
      </c>
      <c r="G2553" s="18">
        <f>HYPERLINK("D:\python\英语学习\voices\"&amp;B2553&amp;"_1.mp3","BrE")</f>
        <v/>
      </c>
      <c r="H2553" s="18">
        <f>HYPERLINK("D:\python\英语学习\voices\"&amp;B2553&amp;"_2.mp3","AmE")</f>
        <v/>
      </c>
      <c r="I2553" s="18">
        <f>HYPERLINK("http://dict.youdao.com/w/"&amp;B2553,"有道")</f>
        <v/>
      </c>
    </row>
    <row customHeight="1" ht="42.75" r="2554">
      <c r="B2554" s="1" t="inlineStr">
        <is>
          <t>morph</t>
        </is>
      </c>
      <c r="C2554" s="7">
        <f>"n. 形素，语素；形态；图像变换"&amp;CHAR(10)&amp;"v. （使）图像变形；将（图像）进行合成处理；改变，变化，变形"</f>
        <v/>
      </c>
      <c r="G2554" s="18">
        <f>HYPERLINK("D:\python\英语学习\voices\"&amp;B2554&amp;"_1.mp3","BrE")</f>
        <v/>
      </c>
      <c r="H2554" s="18">
        <f>HYPERLINK("D:\python\英语学习\voices\"&amp;B2554&amp;"_2.mp3","AmE")</f>
        <v/>
      </c>
      <c r="I2554" s="18">
        <f>HYPERLINK("http://dict.youdao.com/w/"&amp;B2554,"有道")</f>
        <v/>
      </c>
    </row>
    <row customHeight="1" ht="28.5" r="2555">
      <c r="A2555" s="1" t="inlineStr">
        <is>
          <t>practice</t>
        </is>
      </c>
      <c r="B2555" s="1" t="inlineStr">
        <is>
          <t>myriad</t>
        </is>
      </c>
      <c r="C2555" s="7">
        <f>"adj. 无数的；种种的"&amp;CHAR(10)&amp;"n. 无数，极大数量；无数的人或物"</f>
        <v/>
      </c>
      <c r="G2555" s="18">
        <f>HYPERLINK("D:\python\英语学习\voices\"&amp;B2555&amp;"_1.mp3","BrE")</f>
        <v/>
      </c>
      <c r="H2555" s="18">
        <f>HYPERLINK("D:\python\英语学习\voices\"&amp;B2555&amp;"_2.mp3","AmE")</f>
        <v/>
      </c>
      <c r="I2555" s="18">
        <f>HYPERLINK("http://dict.youdao.com/w/"&amp;B2555,"有道")</f>
        <v/>
      </c>
    </row>
    <row r="2556">
      <c r="B2556" s="1" t="inlineStr">
        <is>
          <t>ominous</t>
        </is>
      </c>
      <c r="C2556" s="7">
        <f>"adj. 预兆的；不吉利的"</f>
        <v/>
      </c>
      <c r="G2556" s="18">
        <f>HYPERLINK("D:\python\英语学习\voices\"&amp;B2556&amp;"_1.mp3","BrE")</f>
        <v/>
      </c>
      <c r="H2556" s="18">
        <f>HYPERLINK("D:\python\英语学习\voices\"&amp;B2556&amp;"_2.mp3","AmE")</f>
        <v/>
      </c>
      <c r="I2556" s="18">
        <f>HYPERLINK("http://dict.youdao.com/w/"&amp;B2556,"有道")</f>
        <v/>
      </c>
    </row>
    <row customHeight="1" ht="28.5" r="2557">
      <c r="B2557" s="1" t="inlineStr">
        <is>
          <t>onstage</t>
        </is>
      </c>
      <c r="C2557" s="7">
        <f>"adj. 台上的，演出的"&amp;CHAR(10)&amp;"adv. 上台演出地，上场"</f>
        <v/>
      </c>
      <c r="G2557" s="18">
        <f>HYPERLINK("D:\python\英语学习\voices\"&amp;B2557&amp;"_1.mp3","BrE")</f>
        <v/>
      </c>
      <c r="H2557" s="18">
        <f>HYPERLINK("D:\python\英语学习\voices\"&amp;B2557&amp;"_2.mp3","AmE")</f>
        <v/>
      </c>
      <c r="I2557" s="18">
        <f>HYPERLINK("http://dict.youdao.com/w/"&amp;B2557,"有道")</f>
        <v/>
      </c>
    </row>
    <row r="2558">
      <c r="B2558" s="1" t="inlineStr">
        <is>
          <t>outskirts</t>
        </is>
      </c>
      <c r="C2558" s="7">
        <f>"n. 市郊，郊区"</f>
        <v/>
      </c>
      <c r="G2558" s="18">
        <f>HYPERLINK("D:\python\英语学习\voices\"&amp;B2558&amp;"_1.mp3","BrE")</f>
        <v/>
      </c>
      <c r="H2558" s="18">
        <f>HYPERLINK("D:\python\英语学习\voices\"&amp;B2558&amp;"_2.mp3","AmE")</f>
        <v/>
      </c>
      <c r="I2558" s="18">
        <f>HYPERLINK("http://dict.youdao.com/w/"&amp;B2558,"有道")</f>
        <v/>
      </c>
    </row>
    <row customHeight="1" ht="28.5" r="2559">
      <c r="B2559" s="1" t="inlineStr">
        <is>
          <t>poignant</t>
        </is>
      </c>
      <c r="C2559" s="7">
        <f>"adj. 尖锐的；辛酸的；深刻的；切中要害的"&amp;CHAR(10)&amp;"n. (Poignant)人名；(法)普瓦尼昂"</f>
        <v/>
      </c>
      <c r="G2559" s="18">
        <f>HYPERLINK("D:\python\英语学习\voices\"&amp;B2559&amp;"_1.mp3","BrE")</f>
        <v/>
      </c>
      <c r="H2559" s="18">
        <f>HYPERLINK("D:\python\英语学习\voices\"&amp;B2559&amp;"_2.mp3","AmE")</f>
        <v/>
      </c>
      <c r="I2559" s="18">
        <f>HYPERLINK("http://dict.youdao.com/w/"&amp;B2559,"有道")</f>
        <v/>
      </c>
    </row>
    <row r="2560">
      <c r="A2560" s="1" t="inlineStr">
        <is>
          <t>unnecessary</t>
        </is>
      </c>
      <c r="B2560" s="1" t="inlineStr">
        <is>
          <t>poplar</t>
        </is>
      </c>
      <c r="C2560" s="7">
        <f>"n. 白杨；白杨木"</f>
        <v/>
      </c>
      <c r="G2560" s="18">
        <f>HYPERLINK("D:\python\英语学习\voices\"&amp;B2560&amp;"_1.mp3","BrE")</f>
        <v/>
      </c>
      <c r="H2560" s="18">
        <f>HYPERLINK("D:\python\英语学习\voices\"&amp;B2560&amp;"_2.mp3","AmE")</f>
        <v/>
      </c>
      <c r="I2560" s="18">
        <f>HYPERLINK("http://dict.youdao.com/w/"&amp;B2560,"有道")</f>
        <v/>
      </c>
    </row>
    <row customHeight="1" ht="42.75" r="2561">
      <c r="B2561" s="1" t="inlineStr">
        <is>
          <t>premeditated</t>
        </is>
      </c>
      <c r="C2561" s="7">
        <f>"adj. 预谋的；预先考虑的；经预先计划的"&amp;CHAR(10)&amp;"v. 预谋（premeditate的过去式和过去分词）；预先考虑"</f>
        <v/>
      </c>
      <c r="G2561" s="18">
        <f>HYPERLINK("D:\python\英语学习\voices\"&amp;B2561&amp;"_1.mp3","BrE")</f>
        <v/>
      </c>
      <c r="H2561" s="18">
        <f>HYPERLINK("D:\python\英语学习\voices\"&amp;B2561&amp;"_2.mp3","AmE")</f>
        <v/>
      </c>
      <c r="I2561" s="18">
        <f>HYPERLINK("http://dict.youdao.com/w/"&amp;B2561,"有道")</f>
        <v/>
      </c>
    </row>
    <row customHeight="1" ht="28.5" r="2562">
      <c r="B2562" s="1" t="inlineStr">
        <is>
          <t>premeditate</t>
        </is>
      </c>
      <c r="C2562" s="7">
        <f>"vi. 预谋；预先考虑"&amp;CHAR(10)&amp;"vt. 预谋；预先考虑"</f>
        <v/>
      </c>
      <c r="G2562" s="18">
        <f>HYPERLINK("D:\python\英语学习\voices\"&amp;B2562&amp;"_1.mp3","BrE")</f>
        <v/>
      </c>
      <c r="H2562" s="18">
        <f>HYPERLINK("D:\python\英语学习\voices\"&amp;B2562&amp;"_2.mp3","AmE")</f>
        <v/>
      </c>
      <c r="I2562" s="18">
        <f>HYPERLINK("http://dict.youdao.com/w/"&amp;B2562,"有道")</f>
        <v/>
      </c>
    </row>
    <row r="2563">
      <c r="B2563" s="1" t="inlineStr">
        <is>
          <t>prorogue</t>
        </is>
      </c>
      <c r="C2563" s="7">
        <f>"v. 休会"</f>
        <v/>
      </c>
      <c r="G2563" s="18">
        <f>HYPERLINK("D:\python\英语学习\voices\"&amp;B2563&amp;"_1.mp3","BrE")</f>
        <v/>
      </c>
      <c r="H2563" s="18">
        <f>HYPERLINK("D:\python\英语学习\voices\"&amp;B2563&amp;"_2.mp3","AmE")</f>
        <v/>
      </c>
      <c r="I2563" s="18">
        <f>HYPERLINK("http://dict.youdao.com/w/"&amp;B2563,"有道")</f>
        <v/>
      </c>
    </row>
    <row customHeight="1" ht="28.5" r="2564">
      <c r="B2564" s="1" t="inlineStr">
        <is>
          <t>rebuff</t>
        </is>
      </c>
      <c r="C2564" s="7">
        <f>"n. 断然拒绝；回绝；漠不关心"&amp;CHAR(10)&amp;"vt. 断然拒绝"</f>
        <v/>
      </c>
      <c r="G2564" s="18">
        <f>HYPERLINK("D:\python\英语学习\voices\"&amp;B2564&amp;"_1.mp3","BrE")</f>
        <v/>
      </c>
      <c r="H2564" s="18">
        <f>HYPERLINK("D:\python\英语学习\voices\"&amp;B2564&amp;"_2.mp3","AmE")</f>
        <v/>
      </c>
      <c r="I2564" s="18">
        <f>HYPERLINK("http://dict.youdao.com/w/"&amp;B2564,"有道")</f>
        <v/>
      </c>
    </row>
    <row customHeight="1" ht="42.75" r="2565">
      <c r="B2565" s="1" t="inlineStr">
        <is>
          <t>recess</t>
        </is>
      </c>
      <c r="C2565" s="7">
        <f>"n. 休息；休会；凹处"&amp;CHAR(10)&amp;"vt. 使凹进；把…放在隐蔽处"&amp;CHAR(10)&amp;"vi. 休息；休假"</f>
        <v/>
      </c>
      <c r="G2565" s="18">
        <f>HYPERLINK("D:\python\英语学习\voices\"&amp;B2565&amp;"_1.mp3","BrE")</f>
        <v/>
      </c>
      <c r="H2565" s="18">
        <f>HYPERLINK("D:\python\英语学习\voices\"&amp;B2565&amp;"_2.mp3","AmE")</f>
        <v/>
      </c>
      <c r="I2565" s="18">
        <f>HYPERLINK("http://dict.youdao.com/w/"&amp;B2565,"有道")</f>
        <v/>
      </c>
    </row>
    <row r="2566">
      <c r="B2566" s="1" t="inlineStr">
        <is>
          <t>recession</t>
        </is>
      </c>
      <c r="C2566" s="7">
        <f>"n. 衰退；不景气；后退；凹处"</f>
        <v/>
      </c>
      <c r="G2566" s="18">
        <f>HYPERLINK("D:\python\英语学习\voices\"&amp;B2566&amp;"_1.mp3","BrE")</f>
        <v/>
      </c>
      <c r="H2566" s="18">
        <f>HYPERLINK("D:\python\英语学习\voices\"&amp;B2566&amp;"_2.mp3","AmE")</f>
        <v/>
      </c>
      <c r="I2566" s="18">
        <f>HYPERLINK("http://dict.youdao.com/w/"&amp;B2566,"有道")</f>
        <v/>
      </c>
    </row>
    <row customHeight="1" ht="42.75" r="2567">
      <c r="B2567" s="1" t="inlineStr">
        <is>
          <t>redress</t>
        </is>
      </c>
      <c r="C2567" s="7">
        <f>"v. 纠正；重新放直；重新调整，使恢复 （平衡）；赔偿；救济"&amp;CHAR(10)&amp;"n. 赔偿；矫正；救济"</f>
        <v/>
      </c>
      <c r="G2567" s="18">
        <f>HYPERLINK("D:\python\英语学习\voices\"&amp;B2567&amp;"_1.mp3","BrE")</f>
        <v/>
      </c>
      <c r="H2567" s="18">
        <f>HYPERLINK("D:\python\英语学习\voices\"&amp;B2567&amp;"_2.mp3","AmE")</f>
        <v/>
      </c>
      <c r="I2567" s="18">
        <f>HYPERLINK("http://dict.youdao.com/w/"&amp;B2567,"有道")</f>
        <v/>
      </c>
    </row>
    <row customHeight="1" ht="42.75" r="2568">
      <c r="B2568" s="1" t="inlineStr">
        <is>
          <t>pyramid</t>
        </is>
      </c>
      <c r="C2568" s="7">
        <f>"n. 金字塔；角锥体"&amp;CHAR(10)&amp;"vi. 渐增；上涨；成金字塔状"&amp;CHAR(10)&amp;"vt. 使…渐增；使…上涨；使…成金字塔状"</f>
        <v/>
      </c>
      <c r="G2568" s="18">
        <f>HYPERLINK("D:\python\英语学习\voices\"&amp;B2568&amp;"_1.mp3","BrE")</f>
        <v/>
      </c>
      <c r="H2568" s="18">
        <f>HYPERLINK("D:\python\英语学习\voices\"&amp;B2568&amp;"_2.mp3","AmE")</f>
        <v/>
      </c>
      <c r="I2568" s="18">
        <f>HYPERLINK("http://dict.youdao.com/w/"&amp;B2568,"有道")</f>
        <v/>
      </c>
    </row>
    <row customHeight="1" ht="42.75" r="2569">
      <c r="B2569" s="1" t="inlineStr">
        <is>
          <t>renege</t>
        </is>
      </c>
      <c r="C2569" s="7">
        <f>"vi. 食言；违例出牌"&amp;CHAR(10)&amp;"vt. 否认"&amp;CHAR(10)&amp;"n. 出牌违例"</f>
        <v/>
      </c>
      <c r="E2569" s="6" t="inlineStr">
        <is>
          <t>注意拼写</t>
        </is>
      </c>
      <c r="G2569" s="18">
        <f>HYPERLINK("D:\python\英语学习\voices\"&amp;B2569&amp;"_1.mp3","BrE")</f>
        <v/>
      </c>
      <c r="H2569" s="18">
        <f>HYPERLINK("D:\python\英语学习\voices\"&amp;B2569&amp;"_2.mp3","AmE")</f>
        <v/>
      </c>
      <c r="I2569" s="18">
        <f>HYPERLINK("http://dict.youdao.com/w/"&amp;B2569,"有道")</f>
        <v/>
      </c>
    </row>
    <row customHeight="1" ht="28.5" r="2570">
      <c r="A2570" s="1" t="inlineStr">
        <is>
          <t>practice</t>
        </is>
      </c>
      <c r="B2570" s="1" t="inlineStr">
        <is>
          <t>aspire</t>
        </is>
      </c>
      <c r="C2570" s="7">
        <f>"vi. 渴望；立志；追求"</f>
        <v/>
      </c>
      <c r="G2570" s="18">
        <f>HYPERLINK("D:\python\英语学习\voices\"&amp;B2570&amp;"_1.mp3","BrE")</f>
        <v/>
      </c>
      <c r="H2570" s="18">
        <f>HYPERLINK("D:\python\英语学习\voices\"&amp;B2570&amp;"_2.mp3","AmE")</f>
        <v/>
      </c>
      <c r="I2570" s="18">
        <f>HYPERLINK("http://dict.youdao.com/w/"&amp;B2570,"有道")</f>
        <v/>
      </c>
    </row>
    <row customHeight="1" ht="28.5" r="2571">
      <c r="B2571" s="1" t="inlineStr">
        <is>
          <t>radicalize</t>
        </is>
      </c>
      <c r="C2571" s="7">
        <f>"vt. 使…激进；使…偏激"&amp;CHAR(10)&amp;"vi. 激进化；成为过激论者"</f>
        <v/>
      </c>
      <c r="G2571" s="18">
        <f>HYPERLINK("D:\python\英语学习\voices\"&amp;B2571&amp;"_1.mp3","BrE")</f>
        <v/>
      </c>
      <c r="H2571" s="18">
        <f>HYPERLINK("D:\python\英语学习\voices\"&amp;B2571&amp;"_2.mp3","AmE")</f>
        <v/>
      </c>
      <c r="I2571" s="18">
        <f>HYPERLINK("http://dict.youdao.com/w/"&amp;B2571,"有道")</f>
        <v/>
      </c>
    </row>
    <row r="2572">
      <c r="B2572" s="1" t="inlineStr">
        <is>
          <t>roit</t>
        </is>
      </c>
      <c r="C2572" s="7">
        <f>"abbr. IT投资回报"</f>
        <v/>
      </c>
      <c r="G2572" s="18">
        <f>HYPERLINK("D:\python\英语学习\voices\"&amp;B2572&amp;"_1.mp3","BrE")</f>
        <v/>
      </c>
      <c r="H2572" s="18">
        <f>HYPERLINK("D:\python\英语学习\voices\"&amp;B2572&amp;"_2.mp3","AmE")</f>
        <v/>
      </c>
      <c r="I2572" s="18">
        <f>HYPERLINK("http://dict.youdao.com/w/"&amp;B2572,"有道")</f>
        <v/>
      </c>
    </row>
    <row r="2573">
      <c r="B2573" s="1" t="inlineStr">
        <is>
          <t>rollcall</t>
        </is>
      </c>
      <c r="C2573" s="7">
        <f>"n. 点名；名单，名册"</f>
        <v/>
      </c>
      <c r="G2573" s="18">
        <f>HYPERLINK("D:\python\英语学习\voices\"&amp;B2573&amp;"_1.mp3","BrE")</f>
        <v/>
      </c>
      <c r="H2573" s="18">
        <f>HYPERLINK("D:\python\英语学习\voices\"&amp;B2573&amp;"_2.mp3","AmE")</f>
        <v/>
      </c>
      <c r="I2573" s="18">
        <f>HYPERLINK("http://dict.youdao.com/w/"&amp;B2573,"有道")</f>
        <v/>
      </c>
    </row>
    <row r="2574">
      <c r="B2574" s="1" t="inlineStr">
        <is>
          <t>ruminative</t>
        </is>
      </c>
      <c r="C2574" s="7">
        <f>"adj. 默想的，沉思的；爱反复思考的"</f>
        <v/>
      </c>
      <c r="G2574" s="18">
        <f>HYPERLINK("D:\python\英语学习\voices\"&amp;B2574&amp;"_1.mp3","BrE")</f>
        <v/>
      </c>
      <c r="H2574" s="18">
        <f>HYPERLINK("D:\python\英语学习\voices\"&amp;B2574&amp;"_2.mp3","AmE")</f>
        <v/>
      </c>
      <c r="I2574" s="18">
        <f>HYPERLINK("http://dict.youdao.com/w/"&amp;B2574,"有道")</f>
        <v/>
      </c>
    </row>
    <row r="2575">
      <c r="B2575" s="1" t="inlineStr">
        <is>
          <t>seamless</t>
        </is>
      </c>
      <c r="C2575" s="7">
        <f>"adj. 无缝的；无缝合线的；无伤痕的"</f>
        <v/>
      </c>
      <c r="G2575" s="18">
        <f>HYPERLINK("D:\python\英语学习\voices\"&amp;B2575&amp;"_1.mp3","BrE")</f>
        <v/>
      </c>
      <c r="H2575" s="18">
        <f>HYPERLINK("D:\python\英语学习\voices\"&amp;B2575&amp;"_2.mp3","AmE")</f>
        <v/>
      </c>
      <c r="I2575" s="18">
        <f>HYPERLINK("http://dict.youdao.com/w/"&amp;B2575,"有道")</f>
        <v/>
      </c>
    </row>
    <row customHeight="1" ht="42.75" r="2576">
      <c r="B2576" s="1" t="inlineStr">
        <is>
          <t>seam</t>
        </is>
      </c>
      <c r="C2576" s="7">
        <f>"n. 缝；接缝"&amp;CHAR(10)&amp;"vt. 缝合；接合；使留下伤痕"&amp;CHAR(10)&amp;"vi. 裂开；产生裂缝"</f>
        <v/>
      </c>
      <c r="G2576" s="18">
        <f>HYPERLINK("D:\python\英语学习\voices\"&amp;B2576&amp;"_1.mp3","BrE")</f>
        <v/>
      </c>
      <c r="H2576" s="18">
        <f>HYPERLINK("D:\python\英语学习\voices\"&amp;B2576&amp;"_2.mp3","AmE")</f>
        <v/>
      </c>
      <c r="I2576" s="18">
        <f>HYPERLINK("http://dict.youdao.com/w/"&amp;B2576,"有道")</f>
        <v/>
      </c>
    </row>
    <row customHeight="1" ht="29.1" r="2577">
      <c r="B2577" s="1" t="inlineStr">
        <is>
          <t>seizure</t>
        </is>
      </c>
      <c r="C2577" s="7">
        <f>"n. 没收；夺取；捕获；（疾病的）突然发作"</f>
        <v/>
      </c>
      <c r="G2577" s="18">
        <f>HYPERLINK("D:\python\英语学习\voices\"&amp;B2577&amp;"_1.mp3","BrE")</f>
        <v/>
      </c>
      <c r="H2577" s="18">
        <f>HYPERLINK("D:\python\英语学习\voices\"&amp;B2577&amp;"_2.mp3","AmE")</f>
        <v/>
      </c>
      <c r="I2577" s="18">
        <f>HYPERLINK("http://dict.youdao.com/w/"&amp;B2577,"有道")</f>
        <v/>
      </c>
    </row>
    <row customHeight="1" ht="28.5" r="2578">
      <c r="B2578" s="1" t="inlineStr">
        <is>
          <t>sidelined</t>
        </is>
      </c>
      <c r="C2578" s="7">
        <f>"v. 持观望态度"&amp;CHAR(10)&amp;"adj. 退出的（sideline的过去分词形式）"</f>
        <v/>
      </c>
      <c r="G2578" s="18">
        <f>HYPERLINK("D:\python\英语学习\voices\"&amp;B2578&amp;"_1.mp3","BrE")</f>
        <v/>
      </c>
      <c r="H2578" s="18">
        <f>HYPERLINK("D:\python\英语学习\voices\"&amp;B2578&amp;"_2.mp3","AmE")</f>
        <v/>
      </c>
      <c r="I2578" s="18">
        <f>HYPERLINK("http://dict.youdao.com/w/"&amp;B2578,"有道")</f>
        <v/>
      </c>
    </row>
    <row customHeight="1" ht="42.75" r="2579">
      <c r="B2579" s="1" t="inlineStr">
        <is>
          <t>sideline</t>
        </is>
      </c>
      <c r="C2579" s="7">
        <f>"n. 副业；球场边线；局外人的观点"&amp;CHAR(10)&amp;"vt. 迫使退出"&amp;CHAR(10)&amp;"adj. 倾斜的"</f>
        <v/>
      </c>
      <c r="G2579" s="18">
        <f>HYPERLINK("D:\python\英语学习\voices\"&amp;B2579&amp;"_1.mp3","BrE")</f>
        <v/>
      </c>
      <c r="H2579" s="18">
        <f>HYPERLINK("D:\python\英语学习\voices\"&amp;B2579&amp;"_2.mp3","AmE")</f>
        <v/>
      </c>
      <c r="I2579" s="18">
        <f>HYPERLINK("http://dict.youdao.com/w/"&amp;B2579,"有道")</f>
        <v/>
      </c>
    </row>
    <row customHeight="1" ht="28.5" r="2580">
      <c r="A2580" s="1" t="inlineStr">
        <is>
          <t>practice</t>
        </is>
      </c>
      <c r="B2580" s="1" t="inlineStr">
        <is>
          <t>surge</t>
        </is>
      </c>
      <c r="C2580" s="7">
        <f>"n. 汹涌；大浪，波涛；汹涌澎湃；巨涌"&amp;CHAR(10)&amp;"v. 汹涌；起大浪，蜂拥而来"</f>
        <v/>
      </c>
      <c r="E2580" s="6" t="inlineStr">
        <is>
          <t xml:space="preserve">（从平静）剧增-a sudden large increase in something that has previously been steady, or has only increased or developed slowly. </t>
        </is>
      </c>
      <c r="G2580" s="18">
        <f>HYPERLINK("D:\python\英语学习\voices\"&amp;B2580&amp;"_1.mp3","BrE")</f>
        <v/>
      </c>
      <c r="H2580" s="18">
        <f>HYPERLINK("D:\python\英语学习\voices\"&amp;B2580&amp;"_2.mp3","AmE")</f>
        <v/>
      </c>
      <c r="I2580" s="18">
        <f>HYPERLINK("http://dict.youdao.com/w/"&amp;B2580,"有道")</f>
        <v/>
      </c>
    </row>
    <row customHeight="1" ht="57" r="2581">
      <c r="B2581" s="1" t="inlineStr">
        <is>
          <t>stagger</t>
        </is>
      </c>
      <c r="C2581" s="7">
        <f>"vt. 蹒跚；使交错；使犹豫"&amp;CHAR(10)&amp;"vi. 蹒跚；犹豫"&amp;CHAR(10)&amp;"n. 蹒跚；交错安排"&amp;CHAR(10)&amp;"adj. 交错的；错开的"</f>
        <v/>
      </c>
      <c r="G2581" s="18">
        <f>HYPERLINK("D:\python\英语学习\voices\"&amp;B2581&amp;"_1.mp3","BrE")</f>
        <v/>
      </c>
      <c r="H2581" s="18">
        <f>HYPERLINK("D:\python\英语学习\voices\"&amp;B2581&amp;"_2.mp3","AmE")</f>
        <v/>
      </c>
      <c r="I2581" s="18">
        <f>HYPERLINK("http://dict.youdao.com/w/"&amp;B2581,"有道")</f>
        <v/>
      </c>
    </row>
    <row customHeight="1" ht="28.5" r="2582">
      <c r="B2582" s="1" t="inlineStr">
        <is>
          <t>steeped</t>
        </is>
      </c>
      <c r="C2582" s="7">
        <f>"adj. 充满…的；沉浸在…中的"&amp;CHAR(10)&amp;"v. 浸泡，浸透（steep的过去分词形式）"</f>
        <v/>
      </c>
      <c r="G2582" s="18">
        <f>HYPERLINK("D:\python\英语学习\voices\"&amp;B2582&amp;"_1.mp3","BrE")</f>
        <v/>
      </c>
      <c r="H2582" s="18">
        <f>HYPERLINK("D:\python\英语学习\voices\"&amp;B2582&amp;"_2.mp3","AmE")</f>
        <v/>
      </c>
      <c r="I2582" s="18">
        <f>HYPERLINK("http://dict.youdao.com/w/"&amp;B2582,"有道")</f>
        <v/>
      </c>
    </row>
    <row customHeight="1" ht="28.5" r="2583">
      <c r="B2583" s="1" t="inlineStr">
        <is>
          <t>swirl</t>
        </is>
      </c>
      <c r="C2583" s="7">
        <f>"v. 盘绕，打旋；使成漩涡；流传；眩晕"&amp;CHAR(10)&amp;"n. 漩涡；打旋；涡状形"</f>
        <v/>
      </c>
      <c r="G2583" s="18">
        <f>HYPERLINK("D:\python\英语学习\voices\"&amp;B2583&amp;"_1.mp3","BrE")</f>
        <v/>
      </c>
      <c r="H2583" s="18">
        <f>HYPERLINK("D:\python\英语学习\voices\"&amp;B2583&amp;"_2.mp3","AmE")</f>
        <v/>
      </c>
      <c r="I2583" s="18">
        <f>HYPERLINK("http://dict.youdao.com/w/"&amp;B2583,"有道")</f>
        <v/>
      </c>
    </row>
    <row r="2584">
      <c r="B2584" s="1" t="inlineStr">
        <is>
          <t>tirade</t>
        </is>
      </c>
      <c r="C2584" s="7">
        <f>"n. 激烈的长篇演说"</f>
        <v/>
      </c>
      <c r="G2584" s="18">
        <f>HYPERLINK("D:\python\英语学习\voices\"&amp;B2584&amp;"_1.mp3","BrE")</f>
        <v/>
      </c>
      <c r="H2584" s="18">
        <f>HYPERLINK("D:\python\英语学习\voices\"&amp;B2584&amp;"_2.mp3","AmE")</f>
        <v/>
      </c>
      <c r="I2584" s="18">
        <f>HYPERLINK("http://dict.youdao.com/w/"&amp;B2584,"有道")</f>
        <v/>
      </c>
    </row>
    <row r="2585">
      <c r="B2585" s="1" t="inlineStr">
        <is>
          <t>translucent</t>
        </is>
      </c>
      <c r="C2585" s="7">
        <f>"adj. 透明的；半透明的"</f>
        <v/>
      </c>
      <c r="G2585" s="18">
        <f>HYPERLINK("D:\python\英语学习\voices\"&amp;B2585&amp;"_1.mp3","BrE")</f>
        <v/>
      </c>
      <c r="H2585" s="18">
        <f>HYPERLINK("D:\python\英语学习\voices\"&amp;B2585&amp;"_2.mp3","AmE")</f>
        <v/>
      </c>
      <c r="I2585" s="18">
        <f>HYPERLINK("http://dict.youdao.com/w/"&amp;B2585,"有道")</f>
        <v/>
      </c>
    </row>
    <row customHeight="1" ht="28.5" r="2586">
      <c r="B2586" s="1" t="inlineStr">
        <is>
          <t>tremor</t>
        </is>
      </c>
      <c r="C2586" s="7">
        <f>"n. [医] 震颤；颤动"&amp;CHAR(10)&amp;"n. (Tremor)人名；(西)特雷莫尔"</f>
        <v/>
      </c>
      <c r="G2586" s="18">
        <f>HYPERLINK("D:\python\英语学习\voices\"&amp;B2586&amp;"_1.mp3","BrE")</f>
        <v/>
      </c>
      <c r="H2586" s="18">
        <f>HYPERLINK("D:\python\英语学习\voices\"&amp;B2586&amp;"_2.mp3","AmE")</f>
        <v/>
      </c>
      <c r="I2586" s="18">
        <f>HYPERLINK("http://dict.youdao.com/w/"&amp;B2586,"有道")</f>
        <v/>
      </c>
    </row>
    <row r="2587">
      <c r="B2587" s="1" t="inlineStr">
        <is>
          <t>tumultuous</t>
        </is>
      </c>
      <c r="C2587" s="7">
        <f>"adj. 吵闹的；骚乱的；狂暴的"</f>
        <v/>
      </c>
      <c r="G2587" s="18">
        <f>HYPERLINK("D:\python\英语学习\voices\"&amp;B2587&amp;"_1.mp3","BrE")</f>
        <v/>
      </c>
      <c r="H2587" s="18">
        <f>HYPERLINK("D:\python\英语学习\voices\"&amp;B2587&amp;"_2.mp3","AmE")</f>
        <v/>
      </c>
      <c r="I2587" s="18">
        <f>HYPERLINK("http://dict.youdao.com/w/"&amp;B2587,"有道")</f>
        <v/>
      </c>
    </row>
    <row r="2588">
      <c r="B2588" s="1" t="inlineStr">
        <is>
          <t>two-pronged</t>
        </is>
      </c>
      <c r="C2588" s="7">
        <f>"adj.尖端分叉的；双管齐下的"</f>
        <v/>
      </c>
      <c r="G2588" s="18">
        <f>HYPERLINK("D:\python\英语学习\voices\"&amp;B2588&amp;"_1.mp3","BrE")</f>
        <v/>
      </c>
      <c r="H2588" s="18">
        <f>HYPERLINK("D:\python\英语学习\voices\"&amp;B2588&amp;"_2.mp3","AmE")</f>
        <v/>
      </c>
      <c r="I2588" s="18">
        <f>HYPERLINK("http://dict.youdao.com/w/"&amp;B2588,"有道")</f>
        <v/>
      </c>
    </row>
    <row customHeight="1" ht="28.5" r="2589">
      <c r="B2589" s="1" t="inlineStr">
        <is>
          <t>pronged</t>
        </is>
      </c>
      <c r="C2589" s="7">
        <f>"adj. 尖端分叉的；分为不同方向的"&amp;CHAR(10)&amp;"v. 装叉于（prong的过去式和过去分词）"</f>
        <v/>
      </c>
      <c r="G2589" s="18">
        <f>HYPERLINK("D:\python\英语学习\voices\"&amp;B2589&amp;"_1.mp3","BrE")</f>
        <v/>
      </c>
      <c r="H2589" s="18">
        <f>HYPERLINK("D:\python\英语学习\voices\"&amp;B2589&amp;"_2.mp3","AmE")</f>
        <v/>
      </c>
      <c r="I2589" s="18">
        <f>HYPERLINK("http://dict.youdao.com/w/"&amp;B2589,"有道")</f>
        <v/>
      </c>
    </row>
    <row r="2590">
      <c r="B2590" s="1" t="inlineStr">
        <is>
          <t>ubiquity</t>
        </is>
      </c>
      <c r="C2590" s="7">
        <f>"n. 普遍存在；到处存在"</f>
        <v/>
      </c>
      <c r="G2590" s="18">
        <f>HYPERLINK("D:\python\英语学习\voices\"&amp;B2590&amp;"_1.mp3","BrE")</f>
        <v/>
      </c>
      <c r="H2590" s="18">
        <f>HYPERLINK("D:\python\英语学习\voices\"&amp;B2590&amp;"_2.mp3","AmE")</f>
        <v/>
      </c>
      <c r="I2590" s="18">
        <f>HYPERLINK("http://dict.youdao.com/w/"&amp;B2590,"有道")</f>
        <v/>
      </c>
    </row>
    <row customHeight="1" ht="57" r="2591">
      <c r="B2591" s="1" t="inlineStr">
        <is>
          <t>underwhelmed</t>
        </is>
      </c>
      <c r="C2591" s="7">
        <f>"adj. 无动于衷的，毫不激动的；未激起热情的，未给……留下深刻印象的"&amp;CHAR(10)&amp;"v. 使不感兴趣；未留下深刻印象（underwhelm 的过去式和过去分词）"</f>
        <v/>
      </c>
      <c r="G2591" s="18">
        <f>HYPERLINK("D:\python\英语学习\voices\"&amp;B2591&amp;"_1.mp3","BrE")</f>
        <v/>
      </c>
      <c r="H2591" s="18">
        <f>HYPERLINK("D:\python\英语学习\voices\"&amp;B2591&amp;"_2.mp3","AmE")</f>
        <v/>
      </c>
      <c r="I2591" s="18">
        <f>HYPERLINK("http://dict.youdao.com/w/"&amp;B2591,"有道")</f>
        <v/>
      </c>
    </row>
    <row r="2592">
      <c r="B2592" s="1" t="inlineStr">
        <is>
          <t>Uighurs</t>
        </is>
      </c>
      <c r="C2592" s="7">
        <f>"n.维吾尔族；维吾尔人"</f>
        <v/>
      </c>
      <c r="G2592" s="18">
        <f>HYPERLINK("D:\python\英语学习\voices\"&amp;B2592&amp;"_1.mp3","BrE")</f>
        <v/>
      </c>
      <c r="H2592" s="18">
        <f>HYPERLINK("D:\python\英语学习\voices\"&amp;B2592&amp;"_2.mp3","AmE")</f>
        <v/>
      </c>
      <c r="I2592" s="18">
        <f>HYPERLINK("http://dict.youdao.com/w/"&amp;B2592,"有道")</f>
        <v/>
      </c>
    </row>
    <row customHeight="1" ht="28.5" r="2593">
      <c r="B2593" s="1" t="inlineStr">
        <is>
          <t>vendetta</t>
        </is>
      </c>
      <c r="C2593" s="7">
        <f>"n. （尤指族间或血亲间的）仇杀；深仇"&amp;CHAR(10)&amp;"n. (Vendetta)人名；(意)文代塔"</f>
        <v/>
      </c>
      <c r="G2593" s="18">
        <f>HYPERLINK("D:\python\英语学习\voices\"&amp;B2593&amp;"_1.mp3","BrE")</f>
        <v/>
      </c>
      <c r="H2593" s="18">
        <f>HYPERLINK("D:\python\英语学习\voices\"&amp;B2593&amp;"_2.mp3","AmE")</f>
        <v/>
      </c>
      <c r="I2593" s="18">
        <f>HYPERLINK("http://dict.youdao.com/w/"&amp;B2593,"有道")</f>
        <v/>
      </c>
    </row>
    <row r="2594">
      <c r="B2594" s="1" t="inlineStr">
        <is>
          <t>wayward</t>
        </is>
      </c>
      <c r="C2594" s="7">
        <f>"adj. 任性的；不规则的；刚愎的"</f>
        <v/>
      </c>
      <c r="G2594" s="18">
        <f>HYPERLINK("D:\python\英语学习\voices\"&amp;B2594&amp;"_1.mp3","BrE")</f>
        <v/>
      </c>
      <c r="H2594" s="18">
        <f>HYPERLINK("D:\python\英语学习\voices\"&amp;B2594&amp;"_2.mp3","AmE")</f>
        <v/>
      </c>
      <c r="I2594" s="18">
        <f>HYPERLINK("http://dict.youdao.com/w/"&amp;B2594,"有道")</f>
        <v/>
      </c>
    </row>
    <row r="2595">
      <c r="B2595" s="1" t="inlineStr">
        <is>
          <t>xylophone</t>
        </is>
      </c>
      <c r="C2595" s="7">
        <f>"n. 木琴"</f>
        <v/>
      </c>
      <c r="G2595" s="18">
        <f>HYPERLINK("D:\python\英语学习\voices\"&amp;B2595&amp;"_1.mp3","BrE")</f>
        <v/>
      </c>
      <c r="H2595" s="18">
        <f>HYPERLINK("D:\python\英语学习\voices\"&amp;B2595&amp;"_2.mp3","AmE")</f>
        <v/>
      </c>
      <c r="I2595" s="18">
        <f>HYPERLINK("http://dict.youdao.com/w/"&amp;B2595,"有道")</f>
        <v/>
      </c>
    </row>
    <row r="2596">
      <c r="B2596" s="1" t="inlineStr">
        <is>
          <t>zeitgeist</t>
        </is>
      </c>
      <c r="C2596" s="7">
        <f>"n. 时代思潮，时代精神"</f>
        <v/>
      </c>
      <c r="G2596" s="18">
        <f>HYPERLINK("D:\python\英语学习\voices\"&amp;B2596&amp;"_1.mp3","BrE")</f>
        <v/>
      </c>
      <c r="H2596" s="18">
        <f>HYPERLINK("D:\python\英语学习\voices\"&amp;B2596&amp;"_2.mp3","AmE")</f>
        <v/>
      </c>
      <c r="I2596" s="18">
        <f>HYPERLINK("http://dict.youdao.com/w/"&amp;B2596,"有道")</f>
        <v/>
      </c>
    </row>
    <row customHeight="1" ht="28.5" r="2597">
      <c r="B2597" s="1" t="inlineStr">
        <is>
          <t>stere</t>
        </is>
      </c>
      <c r="C2597" s="7">
        <f>"n. 立方米；立方公尺"&amp;CHAR(10)&amp;"n. (Stere)人名；(罗)斯泰雷"</f>
        <v/>
      </c>
      <c r="G2597" s="18">
        <f>HYPERLINK("D:\python\英语学习\voices\"&amp;B2597&amp;"_1.mp3","BrE")</f>
        <v/>
      </c>
      <c r="H2597" s="18">
        <f>HYPERLINK("D:\python\英语学习\voices\"&amp;B2597&amp;"_2.mp3","AmE")</f>
        <v/>
      </c>
      <c r="I2597" s="18">
        <f>HYPERLINK("http://dict.youdao.com/w/"&amp;B2597,"有道")</f>
        <v/>
      </c>
    </row>
    <row r="2598">
      <c r="B2598" s="1" t="inlineStr">
        <is>
          <t>rootless</t>
        </is>
      </c>
      <c r="C2598" s="7">
        <f>"adj. 无根的；无根据的；无所寄托的"</f>
        <v/>
      </c>
      <c r="G2598" s="18">
        <f>HYPERLINK("D:\python\英语学习\voices\"&amp;B2598&amp;"_1.mp3","BrE")</f>
        <v/>
      </c>
      <c r="H2598" s="18">
        <f>HYPERLINK("D:\python\英语学习\voices\"&amp;B2598&amp;"_2.mp3","AmE")</f>
        <v/>
      </c>
      <c r="I2598" s="18">
        <f>HYPERLINK("http://dict.youdao.com/w/"&amp;B2598,"有道")</f>
        <v/>
      </c>
    </row>
    <row customHeight="1" ht="28.5" r="2599">
      <c r="B2599" s="1" t="inlineStr">
        <is>
          <t>morbid</t>
        </is>
      </c>
      <c r="C2599" s="7">
        <f>"adj. 病态的；由病引起的；恐怖的；病变部位的"</f>
        <v/>
      </c>
      <c r="G2599" s="18">
        <f>HYPERLINK("D:\python\英语学习\voices\"&amp;B2599&amp;"_1.mp3","BrE")</f>
        <v/>
      </c>
      <c r="H2599" s="18">
        <f>HYPERLINK("D:\python\英语学习\voices\"&amp;B2599&amp;"_2.mp3","AmE")</f>
        <v/>
      </c>
      <c r="I2599" s="18">
        <f>HYPERLINK("http://dict.youdao.com/w/"&amp;B2599,"有道")</f>
        <v/>
      </c>
    </row>
    <row customHeight="1" ht="28.5" r="2600">
      <c r="B2600" s="1" t="inlineStr">
        <is>
          <t>offend</t>
        </is>
      </c>
      <c r="C2600" s="7">
        <f>"vt. 冒犯；使…不愉快"&amp;CHAR(10)&amp;"vi. 违反；进攻；引起不舒服"</f>
        <v/>
      </c>
      <c r="G2600" s="18">
        <f>HYPERLINK("D:\python\英语学习\voices\"&amp;B2600&amp;"_1.mp3","BrE")</f>
        <v/>
      </c>
      <c r="H2600" s="18">
        <f>HYPERLINK("D:\python\英语学习\voices\"&amp;B2600&amp;"_2.mp3","AmE")</f>
        <v/>
      </c>
      <c r="I2600" s="18">
        <f>HYPERLINK("http://dict.youdao.com/w/"&amp;B2600,"有道")</f>
        <v/>
      </c>
    </row>
    <row r="2601">
      <c r="B2601" s="1" t="inlineStr">
        <is>
          <t>humility</t>
        </is>
      </c>
      <c r="C2601" s="7">
        <f>"n. 谦卑，谦逊"</f>
        <v/>
      </c>
      <c r="G2601" s="18">
        <f>HYPERLINK("D:\python\英语学习\voices\"&amp;B2601&amp;"_1.mp3","BrE")</f>
        <v/>
      </c>
      <c r="H2601" s="18">
        <f>HYPERLINK("D:\python\英语学习\voices\"&amp;B2601&amp;"_2.mp3","AmE")</f>
        <v/>
      </c>
      <c r="I2601" s="18">
        <f>HYPERLINK("http://dict.youdao.com/w/"&amp;B2601,"有道")</f>
        <v/>
      </c>
    </row>
    <row customHeight="1" ht="28.5" r="2602">
      <c r="B2602" s="1" t="inlineStr">
        <is>
          <t>notch</t>
        </is>
      </c>
      <c r="C2602" s="7">
        <f>"n. 刻痕，凹口；等级；峡谷"&amp;CHAR(10)&amp;"vt. 赢得；用刻痕计算；在…上刻凹痕"</f>
        <v/>
      </c>
      <c r="G2602" s="18">
        <f>HYPERLINK("D:\python\英语学习\voices\"&amp;B2602&amp;"_1.mp3","BrE")</f>
        <v/>
      </c>
      <c r="H2602" s="18">
        <f>HYPERLINK("D:\python\英语学习\voices\"&amp;B2602&amp;"_2.mp3","AmE")</f>
        <v/>
      </c>
      <c r="I2602" s="18">
        <f>HYPERLINK("http://dict.youdao.com/w/"&amp;B2602,"有道")</f>
        <v/>
      </c>
    </row>
    <row r="2603">
      <c r="B2603" s="1" t="inlineStr">
        <is>
          <t>relation</t>
        </is>
      </c>
      <c r="C2603" s="7">
        <f>"n. 关系；叙述；故事；亲属关系"</f>
        <v/>
      </c>
      <c r="G2603" s="18">
        <f>HYPERLINK("D:\python\英语学习\voices\"&amp;B2603&amp;"_1.mp3","BrE")</f>
        <v/>
      </c>
      <c r="H2603" s="18">
        <f>HYPERLINK("D:\python\英语学习\voices\"&amp;B2603&amp;"_2.mp3","AmE")</f>
        <v/>
      </c>
      <c r="I2603" s="18">
        <f>HYPERLINK("http://dict.youdao.com/w/"&amp;B2603,"有道")</f>
        <v/>
      </c>
    </row>
    <row customHeight="1" ht="28.5" r="2604">
      <c r="B2604" s="1" t="inlineStr">
        <is>
          <t>relative</t>
        </is>
      </c>
      <c r="C2604" s="7">
        <f>"adj. 相对的；有关系的；成比例的"&amp;CHAR(10)&amp;"n. 亲戚；相关物；[语] 关系词；亲缘植物"</f>
        <v/>
      </c>
      <c r="G2604" s="18">
        <f>HYPERLINK("D:\python\英语学习\voices\"&amp;B2604&amp;"_1.mp3","BrE")</f>
        <v/>
      </c>
      <c r="H2604" s="18">
        <f>HYPERLINK("D:\python\英语学习\voices\"&amp;B2604&amp;"_2.mp3","AmE")</f>
        <v/>
      </c>
      <c r="I2604" s="18">
        <f>HYPERLINK("http://dict.youdao.com/w/"&amp;B2604,"有道")</f>
        <v/>
      </c>
    </row>
    <row r="2605">
      <c r="B2605" s="1" t="inlineStr">
        <is>
          <t>relationship</t>
        </is>
      </c>
      <c r="C2605" s="7">
        <f>"n. 关系；关联"</f>
        <v/>
      </c>
      <c r="E2605" s="6" t="inlineStr">
        <is>
          <t>和relation有何区别</t>
        </is>
      </c>
      <c r="G2605" s="18">
        <f>HYPERLINK("D:\python\英语学习\voices\"&amp;B2605&amp;"_1.mp3","BrE")</f>
        <v/>
      </c>
      <c r="H2605" s="18">
        <f>HYPERLINK("D:\python\英语学习\voices\"&amp;B2605&amp;"_2.mp3","AmE")</f>
        <v/>
      </c>
      <c r="I2605" s="18">
        <f>HYPERLINK("http://dict.youdao.com/w/"&amp;B2605,"有道")</f>
        <v/>
      </c>
    </row>
    <row r="2606">
      <c r="B2606" s="1" t="inlineStr">
        <is>
          <t>corpse</t>
        </is>
      </c>
      <c r="C2606" s="7">
        <f>"n. 尸体"</f>
        <v/>
      </c>
      <c r="G2606" s="18">
        <f>HYPERLINK("D:\python\英语学习\voices\"&amp;B2606&amp;"_1.mp3","BrE")</f>
        <v/>
      </c>
      <c r="H2606" s="18">
        <f>HYPERLINK("D:\python\英语学习\voices\"&amp;B2606&amp;"_2.mp3","AmE")</f>
        <v/>
      </c>
      <c r="I2606" s="18">
        <f>HYPERLINK("http://dict.youdao.com/w/"&amp;B2606,"有道")</f>
        <v/>
      </c>
    </row>
    <row r="2607">
      <c r="B2607" s="1" t="inlineStr">
        <is>
          <t>coronavirus</t>
        </is>
      </c>
      <c r="C2607" s="7">
        <f>"n. 冠状病毒；日冕形病毒"</f>
        <v/>
      </c>
      <c r="G2607" s="18">
        <f>HYPERLINK("D:\python\英语学习\voices\"&amp;B2607&amp;"_1.mp3","BrE")</f>
        <v/>
      </c>
      <c r="H2607" s="18">
        <f>HYPERLINK("D:\python\英语学习\voices\"&amp;B2607&amp;"_2.mp3","AmE")</f>
        <v/>
      </c>
      <c r="I2607" s="18">
        <f>HYPERLINK("http://dict.youdao.com/w/"&amp;B2607,"有道")</f>
        <v/>
      </c>
    </row>
    <row r="2608">
      <c r="B2608" s="1" t="inlineStr">
        <is>
          <t>heretical</t>
        </is>
      </c>
      <c r="C2608" s="7">
        <f>"adj. 异端的；异教的"</f>
        <v/>
      </c>
      <c r="G2608" s="18">
        <f>HYPERLINK("D:\python\英语学习\voices\"&amp;B2608&amp;"_1.mp3","BrE")</f>
        <v/>
      </c>
      <c r="H2608" s="18">
        <f>HYPERLINK("D:\python\英语学习\voices\"&amp;B2608&amp;"_2.mp3","AmE")</f>
        <v/>
      </c>
      <c r="I2608" s="18">
        <f>HYPERLINK("http://dict.youdao.com/w/"&amp;B2608,"有道")</f>
        <v/>
      </c>
    </row>
    <row r="2609">
      <c r="B2609" s="1" t="inlineStr">
        <is>
          <t>fabrication</t>
        </is>
      </c>
      <c r="C2609" s="7">
        <f>"n. 制造，建造；装配；伪造物"</f>
        <v/>
      </c>
      <c r="G2609" s="18">
        <f>HYPERLINK("D:\python\英语学习\voices\"&amp;B2609&amp;"_1.mp3","BrE")</f>
        <v/>
      </c>
      <c r="H2609" s="18">
        <f>HYPERLINK("D:\python\英语学习\voices\"&amp;B2609&amp;"_2.mp3","AmE")</f>
        <v/>
      </c>
      <c r="I2609" s="18">
        <f>HYPERLINK("http://dict.youdao.com/w/"&amp;B2609,"有道")</f>
        <v/>
      </c>
    </row>
    <row customHeight="1" ht="28.5" r="2610">
      <c r="B2610" s="1" t="inlineStr">
        <is>
          <t>permanent</t>
        </is>
      </c>
      <c r="C2610" s="7">
        <f>"adj. 永久的，永恒的；不变的"&amp;CHAR(10)&amp;"n. 烫发（等于permanent wave）"</f>
        <v/>
      </c>
      <c r="E2610" s="6" t="inlineStr">
        <is>
          <t>注意拼写</t>
        </is>
      </c>
      <c r="G2610" s="18">
        <f>HYPERLINK("D:\python\英语学习\voices\"&amp;B2610&amp;"_1.mp3","BrE")</f>
        <v/>
      </c>
      <c r="H2610" s="18">
        <f>HYPERLINK("D:\python\英语学习\voices\"&amp;B2610&amp;"_2.mp3","AmE")</f>
        <v/>
      </c>
      <c r="I2610" s="18">
        <f>HYPERLINK("http://dict.youdao.com/w/"&amp;B2610,"有道")</f>
        <v/>
      </c>
    </row>
    <row r="2611">
      <c r="B2611" s="1" t="inlineStr">
        <is>
          <t>crouching</t>
        </is>
      </c>
      <c r="C2611" s="7">
        <f>"vi. 蹲伏，蜷缩（crouch的现在分词）"</f>
        <v/>
      </c>
      <c r="G2611" s="18">
        <f>HYPERLINK("D:\python\英语学习\voices\"&amp;B2611&amp;"_1.mp3","BrE")</f>
        <v/>
      </c>
      <c r="H2611" s="18">
        <f>HYPERLINK("D:\python\英语学习\voices\"&amp;B2611&amp;"_2.mp3","AmE")</f>
        <v/>
      </c>
      <c r="I2611" s="18">
        <f>HYPERLINK("http://dict.youdao.com/w/"&amp;B2611,"有道")</f>
        <v/>
      </c>
    </row>
    <row customHeight="1" ht="28.5" r="2612">
      <c r="B2612" s="1" t="inlineStr">
        <is>
          <t>abject</t>
        </is>
      </c>
      <c r="C2612" s="7">
        <f>"adj. 卑鄙的；可怜的；不幸的；（境况）凄惨的，绝望的"</f>
        <v/>
      </c>
      <c r="G2612" s="18">
        <f>HYPERLINK("D:\python\英语学习\voices\"&amp;B2612&amp;"_1.mp3","BrE")</f>
        <v/>
      </c>
      <c r="H2612" s="18">
        <f>HYPERLINK("D:\python\英语学习\voices\"&amp;B2612&amp;"_2.mp3","AmE")</f>
        <v/>
      </c>
      <c r="I2612" s="18">
        <f>HYPERLINK("http://dict.youdao.com/w/"&amp;B2612,"有道")</f>
        <v/>
      </c>
    </row>
    <row r="2613">
      <c r="B2613" s="1" t="inlineStr">
        <is>
          <t>secretively</t>
        </is>
      </c>
      <c r="C2613" s="7">
        <f>"adv. 隐匿地"</f>
        <v/>
      </c>
      <c r="G2613" s="18">
        <f>HYPERLINK("D:\python\英语学习\voices\"&amp;B2613&amp;"_1.mp3","BrE")</f>
        <v/>
      </c>
      <c r="H2613" s="18">
        <f>HYPERLINK("D:\python\英语学习\voices\"&amp;B2613&amp;"_2.mp3","AmE")</f>
        <v/>
      </c>
      <c r="I2613" s="18">
        <f>HYPERLINK("http://dict.youdao.com/w/"&amp;B2613,"有道")</f>
        <v/>
      </c>
    </row>
    <row customHeight="1" ht="42.75" r="2614">
      <c r="B2614" s="1" t="inlineStr">
        <is>
          <t>dissolve</t>
        </is>
      </c>
      <c r="C2614" s="7">
        <f>"vt. 使溶解；使分解；使液化"&amp;CHAR(10)&amp;"vi. 溶解；解散；消失"&amp;CHAR(10)&amp;"n. 叠化画面；画面的溶暗"</f>
        <v/>
      </c>
      <c r="G2614" s="18">
        <f>HYPERLINK("D:\python\英语学习\voices\"&amp;B2614&amp;"_1.mp3","BrE")</f>
        <v/>
      </c>
      <c r="H2614" s="18">
        <f>HYPERLINK("D:\python\英语学习\voices\"&amp;B2614&amp;"_2.mp3","AmE")</f>
        <v/>
      </c>
      <c r="I2614" s="18">
        <f>HYPERLINK("http://dict.youdao.com/w/"&amp;B2614,"有道")</f>
        <v/>
      </c>
    </row>
    <row r="2615">
      <c r="B2615" s="1" t="inlineStr">
        <is>
          <t>kaleidoscope</t>
        </is>
      </c>
      <c r="C2615" s="7">
        <f>"n. 万花筒；千变万化"</f>
        <v/>
      </c>
      <c r="G2615" s="18">
        <f>HYPERLINK("D:\python\英语学习\voices\"&amp;B2615&amp;"_1.mp3","BrE")</f>
        <v/>
      </c>
      <c r="H2615" s="18">
        <f>HYPERLINK("D:\python\英语学习\voices\"&amp;B2615&amp;"_2.mp3","AmE")</f>
        <v/>
      </c>
      <c r="I2615" s="18">
        <f>HYPERLINK("http://dict.youdao.com/w/"&amp;B2615,"有道")</f>
        <v/>
      </c>
    </row>
    <row r="2616">
      <c r="B2616" s="1" t="inlineStr">
        <is>
          <t>oozing</t>
        </is>
      </c>
      <c r="C2616" s="7">
        <f>"v. 渗出（ooze的ing形式）；渗透"</f>
        <v/>
      </c>
      <c r="G2616" s="18">
        <f>HYPERLINK("D:\python\英语学习\voices\"&amp;B2616&amp;"_1.mp3","BrE")</f>
        <v/>
      </c>
      <c r="H2616" s="18">
        <f>HYPERLINK("D:\python\英语学习\voices\"&amp;B2616&amp;"_2.mp3","AmE")</f>
        <v/>
      </c>
      <c r="I2616" s="18">
        <f>HYPERLINK("http://dict.youdao.com/w/"&amp;B2616,"有道")</f>
        <v/>
      </c>
    </row>
    <row customHeight="1" ht="42.75" r="2617">
      <c r="B2617" s="1" t="inlineStr">
        <is>
          <t>ooze</t>
        </is>
      </c>
      <c r="C2617" s="7">
        <f>"vt. 渗出；泄漏"&amp;CHAR(10)&amp;"vi. 渗出；泄漏"&amp;CHAR(10)&amp;"n. [地质] 软泥"</f>
        <v/>
      </c>
      <c r="G2617" s="18">
        <f>HYPERLINK("D:\python\英语学习\voices\"&amp;B2617&amp;"_1.mp3","BrE")</f>
        <v/>
      </c>
      <c r="H2617" s="18">
        <f>HYPERLINK("D:\python\英语学习\voices\"&amp;B2617&amp;"_2.mp3","AmE")</f>
        <v/>
      </c>
      <c r="I2617" s="18">
        <f>HYPERLINK("http://dict.youdao.com/w/"&amp;B2617,"有道")</f>
        <v/>
      </c>
    </row>
    <row r="2618">
      <c r="B2618" s="1" t="inlineStr">
        <is>
          <t>novelette</t>
        </is>
      </c>
      <c r="C2618" s="7">
        <f>"n. 中篇小说"</f>
        <v/>
      </c>
      <c r="G2618" s="18">
        <f>HYPERLINK("D:\python\英语学习\voices\"&amp;B2618&amp;"_1.mp3","BrE")</f>
        <v/>
      </c>
      <c r="H2618" s="18">
        <f>HYPERLINK("D:\python\英语学习\voices\"&amp;B2618&amp;"_2.mp3","AmE")</f>
        <v/>
      </c>
      <c r="I2618" s="18">
        <f>HYPERLINK("http://dict.youdao.com/w/"&amp;B2618,"有道")</f>
        <v/>
      </c>
    </row>
    <row r="2619">
      <c r="B2619" s="1" t="inlineStr">
        <is>
          <t>astrology</t>
        </is>
      </c>
      <c r="C2619" s="7">
        <f>"n. 占星术；占星学；星座"</f>
        <v/>
      </c>
      <c r="G2619" s="18">
        <f>HYPERLINK("D:\python\英语学习\voices\"&amp;B2619&amp;"_1.mp3","BrE")</f>
        <v/>
      </c>
      <c r="H2619" s="18">
        <f>HYPERLINK("D:\python\英语学习\voices\"&amp;B2619&amp;"_2.mp3","AmE")</f>
        <v/>
      </c>
      <c r="I2619" s="18">
        <f>HYPERLINK("http://dict.youdao.com/w/"&amp;B2619,"有道")</f>
        <v/>
      </c>
    </row>
    <row r="2620">
      <c r="B2620" s="1" t="inlineStr">
        <is>
          <t>proletariat</t>
        </is>
      </c>
      <c r="C2620" s="7">
        <f>"n. 无产阶级，工人阶级；最下层阶级"</f>
        <v/>
      </c>
      <c r="G2620" s="18">
        <f>HYPERLINK("D:\python\英语学习\voices\"&amp;B2620&amp;"_1.mp3","BrE")</f>
        <v/>
      </c>
      <c r="H2620" s="18">
        <f>HYPERLINK("D:\python\英语学习\voices\"&amp;B2620&amp;"_2.mp3","AmE")</f>
        <v/>
      </c>
      <c r="I2620" s="18">
        <f>HYPERLINK("http://dict.youdao.com/w/"&amp;B2620,"有道")</f>
        <v/>
      </c>
    </row>
    <row customHeight="1" ht="28.5" r="2621">
      <c r="B2621" s="1" t="inlineStr">
        <is>
          <t>multifarious</t>
        </is>
      </c>
      <c r="C2621" s="7">
        <f>"adj. 多种的；各式各样的；多方面的；多样性的"</f>
        <v/>
      </c>
      <c r="G2621" s="18">
        <f>HYPERLINK("D:\python\英语学习\voices\"&amp;B2621&amp;"_1.mp3","BrE")</f>
        <v/>
      </c>
      <c r="H2621" s="18">
        <f>HYPERLINK("D:\python\英语学习\voices\"&amp;B2621&amp;"_2.mp3","AmE")</f>
        <v/>
      </c>
      <c r="I2621" s="18">
        <f>HYPERLINK("http://dict.youdao.com/w/"&amp;B2621,"有道")</f>
        <v/>
      </c>
    </row>
    <row r="2622">
      <c r="B2622" s="1" t="inlineStr">
        <is>
          <t>treatise</t>
        </is>
      </c>
      <c r="C2622" s="7">
        <f>"n. 论述；论文；专著"</f>
        <v/>
      </c>
      <c r="G2622" s="18">
        <f>HYPERLINK("D:\python\英语学习\voices\"&amp;B2622&amp;"_1.mp3","BrE")</f>
        <v/>
      </c>
      <c r="H2622" s="18">
        <f>HYPERLINK("D:\python\英语学习\voices\"&amp;B2622&amp;"_2.mp3","AmE")</f>
        <v/>
      </c>
      <c r="I2622" s="18">
        <f>HYPERLINK("http://dict.youdao.com/w/"&amp;B2622,"有道")</f>
        <v/>
      </c>
    </row>
    <row r="2623">
      <c r="B2623" s="1" t="inlineStr">
        <is>
          <t>anonymous</t>
        </is>
      </c>
      <c r="C2623" s="7">
        <f>"adj. 匿名的，无名的；无个性特征的"</f>
        <v/>
      </c>
      <c r="G2623" s="18">
        <f>HYPERLINK("D:\python\英语学习\voices\"&amp;B2623&amp;"_1.mp3","BrE")</f>
        <v/>
      </c>
      <c r="H2623" s="18">
        <f>HYPERLINK("D:\python\英语学习\voices\"&amp;B2623&amp;"_2.mp3","AmE")</f>
        <v/>
      </c>
      <c r="I2623" s="18">
        <f>HYPERLINK("http://dict.youdao.com/w/"&amp;B2623,"有道")</f>
        <v/>
      </c>
    </row>
    <row r="2624">
      <c r="B2624" s="1" t="inlineStr">
        <is>
          <t>typography</t>
        </is>
      </c>
      <c r="C2624" s="7">
        <f>"n. 排印；[印刷] 活版印刷术；印刷格式"</f>
        <v/>
      </c>
      <c r="G2624" s="18">
        <f>HYPERLINK("D:\python\英语学习\voices\"&amp;B2624&amp;"_1.mp3","BrE")</f>
        <v/>
      </c>
      <c r="H2624" s="18">
        <f>HYPERLINK("D:\python\英语学习\voices\"&amp;B2624&amp;"_2.mp3","AmE")</f>
        <v/>
      </c>
      <c r="I2624" s="18">
        <f>HYPERLINK("http://dict.youdao.com/w/"&amp;B2624,"有道")</f>
        <v/>
      </c>
    </row>
    <row customHeight="1" ht="28.5" r="2625">
      <c r="B2625" s="1" t="inlineStr">
        <is>
          <t>ineffectual</t>
        </is>
      </c>
      <c r="C2625" s="7">
        <f>"adj. 无效的，不起作用的；徒劳无益的"&amp;CHAR(10)&amp;"n. 无用的人；无一技之长者"</f>
        <v/>
      </c>
      <c r="G2625" s="18">
        <f>HYPERLINK("D:\python\英语学习\voices\"&amp;B2625&amp;"_1.mp3","BrE")</f>
        <v/>
      </c>
      <c r="H2625" s="18">
        <f>HYPERLINK("D:\python\英语学习\voices\"&amp;B2625&amp;"_2.mp3","AmE")</f>
        <v/>
      </c>
      <c r="I2625" s="18">
        <f>HYPERLINK("http://dict.youdao.com/w/"&amp;B2625,"有道")</f>
        <v/>
      </c>
    </row>
    <row customHeight="1" ht="57" r="2626">
      <c r="B2626" s="1" t="inlineStr">
        <is>
          <t>garble</t>
        </is>
      </c>
      <c r="C2626" s="7">
        <f>"v. 断章取义；篡改，歪曲；让（话或信息）变得含混不清，易引起误解"&amp;CHAR(10)&amp;"n. 断章取义，断章取义之事；混乱的记述；篡改"</f>
        <v/>
      </c>
      <c r="G2626" s="18">
        <f>HYPERLINK("D:\python\英语学习\voices\"&amp;B2626&amp;"_1.mp3","BrE")</f>
        <v/>
      </c>
      <c r="H2626" s="18">
        <f>HYPERLINK("D:\python\英语学习\voices\"&amp;B2626&amp;"_2.mp3","AmE")</f>
        <v/>
      </c>
      <c r="I2626" s="18">
        <f>HYPERLINK("http://dict.youdao.com/w/"&amp;B2626,"有道")</f>
        <v/>
      </c>
    </row>
    <row r="2627">
      <c r="B2627" s="1" t="inlineStr">
        <is>
          <t>anthology</t>
        </is>
      </c>
      <c r="C2627" s="7">
        <f>"n. （诗、文、曲、画等的）选集"</f>
        <v/>
      </c>
      <c r="G2627" s="18">
        <f>HYPERLINK("D:\python\英语学习\voices\"&amp;B2627&amp;"_1.mp3","BrE")</f>
        <v/>
      </c>
      <c r="H2627" s="18">
        <f>HYPERLINK("D:\python\英语学习\voices\"&amp;B2627&amp;"_2.mp3","AmE")</f>
        <v/>
      </c>
      <c r="I2627" s="18">
        <f>HYPERLINK("http://dict.youdao.com/w/"&amp;B2627,"有道")</f>
        <v/>
      </c>
    </row>
    <row customHeight="1" ht="57" r="2628">
      <c r="B2628" s="1" t="inlineStr">
        <is>
          <t>sandy</t>
        </is>
      </c>
      <c r="C2628" s="7">
        <f>"adj. 沙地的；多沙的；含沙的"&amp;CHAR(10)&amp;"n. (Sandy)人名；(法、喀、罗、西、英)桑迪(教名Alasdair、Alastair、Alexander、Alister、Elshender的昵称)"</f>
        <v/>
      </c>
      <c r="G2628" s="18">
        <f>HYPERLINK("D:\python\英语学习\voices\"&amp;B2628&amp;"_1.mp3","BrE")</f>
        <v/>
      </c>
      <c r="H2628" s="18">
        <f>HYPERLINK("D:\python\英语学习\voices\"&amp;B2628&amp;"_2.mp3","AmE")</f>
        <v/>
      </c>
      <c r="I2628" s="18">
        <f>HYPERLINK("http://dict.youdao.com/w/"&amp;B2628,"有道")</f>
        <v/>
      </c>
    </row>
    <row r="2629">
      <c r="B2629" s="1" t="inlineStr">
        <is>
          <t>gesticulating</t>
        </is>
      </c>
      <c r="C2629" s="7">
        <f>"打手势"</f>
        <v/>
      </c>
      <c r="G2629" s="18">
        <f>HYPERLINK("D:\python\英语学习\voices\"&amp;B2629&amp;"_1.mp3","BrE")</f>
        <v/>
      </c>
      <c r="H2629" s="18">
        <f>HYPERLINK("D:\python\英语学习\voices\"&amp;B2629&amp;"_2.mp3","AmE")</f>
        <v/>
      </c>
      <c r="I2629" s="18">
        <f>HYPERLINK("http://dict.youdao.com/w/"&amp;B2629,"有道")</f>
        <v/>
      </c>
    </row>
    <row customHeight="1" ht="28.5" r="2630">
      <c r="B2630" s="1" t="inlineStr">
        <is>
          <t>quota</t>
        </is>
      </c>
      <c r="C2630" s="7">
        <f>"n. 定额；限额；配额；指标；（候选人当选所需的）规定票数，最低票数"</f>
        <v/>
      </c>
      <c r="G2630" s="18">
        <f>HYPERLINK("D:\python\英语学习\voices\"&amp;B2630&amp;"_1.mp3","BrE")</f>
        <v/>
      </c>
      <c r="H2630" s="18">
        <f>HYPERLINK("D:\python\英语学习\voices\"&amp;B2630&amp;"_2.mp3","AmE")</f>
        <v/>
      </c>
      <c r="I2630" s="18">
        <f>HYPERLINK("http://dict.youdao.com/w/"&amp;B2630,"有道")</f>
        <v/>
      </c>
    </row>
    <row r="2631">
      <c r="B2631" s="1" t="inlineStr">
        <is>
          <t>likelier</t>
        </is>
      </c>
      <c r="C2631" s="7">
        <f>"可能的（likely的比较级）"</f>
        <v/>
      </c>
      <c r="G2631" s="18">
        <f>HYPERLINK("D:\python\英语学习\voices\"&amp;B2631&amp;"_1.mp3","BrE")</f>
        <v/>
      </c>
      <c r="H2631" s="18">
        <f>HYPERLINK("D:\python\英语学习\voices\"&amp;B2631&amp;"_2.mp3","AmE")</f>
        <v/>
      </c>
      <c r="I2631" s="18">
        <f>HYPERLINK("http://dict.youdao.com/w/"&amp;B2631,"有道")</f>
        <v/>
      </c>
    </row>
    <row r="2632">
      <c r="B2632" s="1" t="inlineStr">
        <is>
          <t>forgery</t>
        </is>
      </c>
      <c r="C2632" s="7">
        <f>"n. 伪造；伪造罪；伪造物"</f>
        <v/>
      </c>
      <c r="G2632" s="18">
        <f>HYPERLINK("D:\python\英语学习\voices\"&amp;B2632&amp;"_1.mp3","BrE")</f>
        <v/>
      </c>
      <c r="H2632" s="18">
        <f>HYPERLINK("D:\python\英语学习\voices\"&amp;B2632&amp;"_2.mp3","AmE")</f>
        <v/>
      </c>
      <c r="I2632" s="18">
        <f>HYPERLINK("http://dict.youdao.com/w/"&amp;B2632,"有道")</f>
        <v/>
      </c>
    </row>
    <row r="2633">
      <c r="B2633" s="1" t="inlineStr">
        <is>
          <t>connexion</t>
        </is>
      </c>
      <c r="C2633" s="7">
        <f>"n. 连接，联系（等于connection）"</f>
        <v/>
      </c>
      <c r="G2633" s="18">
        <f>HYPERLINK("D:\python\英语学习\voices\"&amp;B2633&amp;"_1.mp3","BrE")</f>
        <v/>
      </c>
      <c r="H2633" s="18">
        <f>HYPERLINK("D:\python\英语学习\voices\"&amp;B2633&amp;"_2.mp3","AmE")</f>
        <v/>
      </c>
      <c r="I2633" s="18">
        <f>HYPERLINK("http://dict.youdao.com/w/"&amp;B2633,"有道")</f>
        <v/>
      </c>
    </row>
    <row customHeight="1" ht="28.5" r="2634">
      <c r="B2634" s="1" t="inlineStr">
        <is>
          <t>superseded</t>
        </is>
      </c>
      <c r="C2634" s="7">
        <f>"adj. 作废的；被取代的"&amp;CHAR(10)&amp;"v. 取代；克制；废弃（supersede的过去分词）"</f>
        <v/>
      </c>
      <c r="G2634" s="18">
        <f>HYPERLINK("D:\python\英语学习\voices\"&amp;B2634&amp;"_1.mp3","BrE")</f>
        <v/>
      </c>
      <c r="H2634" s="18">
        <f>HYPERLINK("D:\python\英语学习\voices\"&amp;B2634&amp;"_2.mp3","AmE")</f>
        <v/>
      </c>
      <c r="I2634" s="18">
        <f>HYPERLINK("http://dict.youdao.com/w/"&amp;B2634,"有道")</f>
        <v/>
      </c>
    </row>
    <row r="2635">
      <c r="B2635" s="1" t="inlineStr">
        <is>
          <t>falsification</t>
        </is>
      </c>
      <c r="C2635" s="7">
        <f>"n. 伪造；歪曲；[审计] 篡改；证明是假"</f>
        <v/>
      </c>
      <c r="G2635" s="18">
        <f>HYPERLINK("D:\python\英语学习\voices\"&amp;B2635&amp;"_1.mp3","BrE")</f>
        <v/>
      </c>
      <c r="H2635" s="18">
        <f>HYPERLINK("D:\python\英语学习\voices\"&amp;B2635&amp;"_2.mp3","AmE")</f>
        <v/>
      </c>
      <c r="I2635" s="18">
        <f>HYPERLINK("http://dict.youdao.com/w/"&amp;B2635,"有道")</f>
        <v/>
      </c>
    </row>
    <row customHeight="1" ht="28.5" r="2636">
      <c r="A2636" t="inlineStr">
        <is>
          <t>unnecessary</t>
        </is>
      </c>
      <c r="B2636" s="1" t="inlineStr">
        <is>
          <t>palimpsest</t>
        </is>
      </c>
      <c r="C2636" s="7">
        <f>"n. 重写本"&amp;CHAR(10)&amp;"写在重写本上的"</f>
        <v/>
      </c>
      <c r="G2636" s="18">
        <f>HYPERLINK("D:\python\英语学习\voices\"&amp;B2636&amp;"_1.mp3","BrE")</f>
        <v/>
      </c>
      <c r="H2636" s="18">
        <f>HYPERLINK("D:\python\英语学习\voices\"&amp;B2636&amp;"_2.mp3","AmE")</f>
        <v/>
      </c>
      <c r="I2636" s="18">
        <f>HYPERLINK("http://dict.youdao.com/w/"&amp;B2636,"有道")</f>
        <v/>
      </c>
    </row>
    <row customHeight="1" ht="28.5" r="2637">
      <c r="B2637" s="1" t="inlineStr">
        <is>
          <t>conceivably</t>
        </is>
      </c>
      <c r="C2637" s="7">
        <f>"adv. 可以想象的是，可以想得到的是；可能的是；可以理解的是"</f>
        <v/>
      </c>
      <c r="G2637" s="18">
        <f>HYPERLINK("D:\python\英语学习\voices\"&amp;B2637&amp;"_1.mp3","BrE")</f>
        <v/>
      </c>
      <c r="H2637" s="18">
        <f>HYPERLINK("D:\python\英语学习\voices\"&amp;B2637&amp;"_2.mp3","AmE")</f>
        <v/>
      </c>
      <c r="I2637" s="18">
        <f>HYPERLINK("http://dict.youdao.com/w/"&amp;B2637,"有道")</f>
        <v/>
      </c>
    </row>
    <row customHeight="1" ht="42.75" r="2638">
      <c r="B2638" s="1" t="inlineStr">
        <is>
          <t>stead</t>
        </is>
      </c>
      <c r="C2638" s="7">
        <f>"n. 代替；用处"&amp;CHAR(10)&amp;"vt. 对…有利"&amp;CHAR(10)&amp;"n. (Stead)人名；(英)斯特德"</f>
        <v/>
      </c>
      <c r="E2638" s="7" t="inlineStr">
        <is>
          <t>in stead of
in sb's stead
stand/hold sb in good stead 对sb有好处/有用</t>
        </is>
      </c>
      <c r="G2638" s="18">
        <f>HYPERLINK("D:\python\英语学习\voices\"&amp;B2638&amp;"_1.mp3","BrE")</f>
        <v/>
      </c>
      <c r="H2638" s="18">
        <f>HYPERLINK("D:\python\英语学习\voices\"&amp;B2638&amp;"_2.mp3","AmE")</f>
        <v/>
      </c>
      <c r="I2638" s="18">
        <f>HYPERLINK("http://dict.youdao.com/w/"&amp;B2638,"有道")</f>
        <v/>
      </c>
    </row>
    <row customHeight="1" ht="57" r="2639">
      <c r="B2639" s="1" t="inlineStr">
        <is>
          <t>collated</t>
        </is>
      </c>
      <c r="C2639" s="7">
        <f>"v. 核对（不同来源的信息）；整理（文件等）；收集并组合（文本）；检验（印张顺序）；授予（牧师）有俸圣职（collate 的过去式和过去分词）"</f>
        <v/>
      </c>
      <c r="G2639" s="18">
        <f>HYPERLINK("D:\python\英语学习\voices\"&amp;B2639&amp;"_1.mp3","BrE")</f>
        <v/>
      </c>
      <c r="H2639" s="18">
        <f>HYPERLINK("D:\python\英语学习\voices\"&amp;B2639&amp;"_2.mp3","AmE")</f>
        <v/>
      </c>
      <c r="I2639" s="18">
        <f>HYPERLINK("http://dict.youdao.com/w/"&amp;B2639,"有道")</f>
        <v/>
      </c>
    </row>
    <row customHeight="1" ht="42.75" r="2640">
      <c r="B2640" s="1" t="inlineStr">
        <is>
          <t>crumple</t>
        </is>
      </c>
      <c r="C2640" s="7">
        <f>"vt. 弄皱；使一蹶不振"&amp;CHAR(10)&amp;"vi. 起皱；倒坍；一蹶不振"&amp;CHAR(10)&amp;"n. 皱纹；褶皱"</f>
        <v/>
      </c>
      <c r="G2640" s="18">
        <f>HYPERLINK("D:\python\英语学习\voices\"&amp;B2640&amp;"_1.mp3","BrE")</f>
        <v/>
      </c>
      <c r="H2640" s="18">
        <f>HYPERLINK("D:\python\英语学习\voices\"&amp;B2640&amp;"_2.mp3","AmE")</f>
        <v/>
      </c>
      <c r="I2640" s="18">
        <f>HYPERLINK("http://dict.youdao.com/w/"&amp;B2640,"有道")</f>
        <v/>
      </c>
    </row>
    <row customHeight="1" ht="42.75" r="2641">
      <c r="B2641" s="1" t="inlineStr">
        <is>
          <t>categorical</t>
        </is>
      </c>
      <c r="C2641" s="7">
        <f>"adj. 绝对的（名词categoricalness，副词categorically，异体字categoric）；直截了当的；无条件的；属于某一范畴的"</f>
        <v/>
      </c>
      <c r="G2641" s="18">
        <f>HYPERLINK("D:\python\英语学习\voices\"&amp;B2641&amp;"_1.mp3","BrE")</f>
        <v/>
      </c>
      <c r="H2641" s="18">
        <f>HYPERLINK("D:\python\英语学习\voices\"&amp;B2641&amp;"_2.mp3","AmE")</f>
        <v/>
      </c>
      <c r="I2641" s="18">
        <f>HYPERLINK("http://dict.youdao.com/w/"&amp;B2641,"有道")</f>
        <v/>
      </c>
    </row>
    <row customHeight="1" ht="42.75" r="2642">
      <c r="B2642" s="1" t="inlineStr">
        <is>
          <t>wading</t>
        </is>
      </c>
      <c r="C2642" s="7">
        <f>"v. 蹚水；涉过（有水处）（wade 的现在分词）"&amp;CHAR(10)&amp;"n. 涉水"</f>
        <v/>
      </c>
      <c r="G2642" s="18">
        <f>HYPERLINK("D:\python\英语学习\voices\"&amp;B2642&amp;"_1.mp3","BrE")</f>
        <v/>
      </c>
      <c r="H2642" s="18">
        <f>HYPERLINK("D:\python\英语学习\voices\"&amp;B2642&amp;"_2.mp3","AmE")</f>
        <v/>
      </c>
      <c r="I2642" s="18">
        <f>HYPERLINK("http://dict.youdao.com/w/"&amp;B2642,"有道")</f>
        <v/>
      </c>
    </row>
    <row customHeight="1" ht="42.75" r="2643">
      <c r="B2643" s="1" t="inlineStr">
        <is>
          <t>wade</t>
        </is>
      </c>
      <c r="C2643" s="7">
        <f>"vi. 跋涉"&amp;CHAR(10)&amp;"vt. 涉水；费力行走"&amp;CHAR(10)&amp;"n. 跋涉；可涉水而过的地方"</f>
        <v/>
      </c>
      <c r="G2643" s="18">
        <f>HYPERLINK("D:\python\英语学习\voices\"&amp;B2643&amp;"_1.mp3","BrE")</f>
        <v/>
      </c>
      <c r="H2643" s="18">
        <f>HYPERLINK("D:\python\英语学习\voices\"&amp;B2643&amp;"_2.mp3","AmE")</f>
        <v/>
      </c>
      <c r="I2643" s="18">
        <f>HYPERLINK("http://dict.youdao.com/w/"&amp;B2643,"有道")</f>
        <v/>
      </c>
    </row>
    <row customHeight="1" ht="28.5" r="2644">
      <c r="B2644" s="1" t="inlineStr">
        <is>
          <t>whereupon</t>
        </is>
      </c>
      <c r="C2644" s="7">
        <f>"conj. 于是；随之，接着；马上；因此"&amp;CHAR(10)&amp;"adv. 因此"</f>
        <v/>
      </c>
      <c r="E2644" t="inlineStr">
        <is>
          <t>同whereon</t>
        </is>
      </c>
      <c r="G2644" s="18">
        <f>HYPERLINK("D:\python\英语学习\voices\"&amp;B2644&amp;"_1.mp3","BrE")</f>
        <v/>
      </c>
      <c r="H2644" s="18">
        <f>HYPERLINK("D:\python\英语学习\voices\"&amp;B2644&amp;"_2.mp3","AmE")</f>
        <v/>
      </c>
      <c r="I2644" s="18">
        <f>HYPERLINK("http://dict.youdao.com/w/"&amp;B2644,"有道")</f>
        <v/>
      </c>
    </row>
    <row r="2645">
      <c r="B2645" s="1" t="inlineStr">
        <is>
          <t>corridor</t>
        </is>
      </c>
      <c r="C2645" s="7">
        <f>"n. 走廊"</f>
        <v/>
      </c>
      <c r="G2645" s="18">
        <f>HYPERLINK("D:\python\英语学习\voices\"&amp;B2645&amp;"_1.mp3","BrE")</f>
        <v/>
      </c>
      <c r="H2645" s="18">
        <f>HYPERLINK("D:\python\英语学习\voices\"&amp;B2645&amp;"_2.mp3","AmE")</f>
        <v/>
      </c>
      <c r="I2645" s="18">
        <f>HYPERLINK("http://dict.youdao.com/w/"&amp;B2645,"有道")</f>
        <v/>
      </c>
    </row>
    <row customHeight="1" ht="57" r="2646">
      <c r="B2646" s="1" t="inlineStr">
        <is>
          <t>grating</t>
        </is>
      </c>
      <c r="C2646" s="7">
        <f>"n. 栅栏，格子；摩擦，摩擦声；衍射光栅"&amp;CHAR(10)&amp;"adj. 刺耳的；磨擦的；令人气恼的"&amp;CHAR(10)&amp;"v. 磨碎（食物）；擦响，发出刺耳的声音；激怒，使人烦躁（grate 的现在分词）"</f>
        <v/>
      </c>
      <c r="G2646" s="18">
        <f>HYPERLINK("D:\python\英语学习\voices\"&amp;B2646&amp;"_1.mp3","BrE")</f>
        <v/>
      </c>
      <c r="H2646" s="18">
        <f>HYPERLINK("D:\python\英语学习\voices\"&amp;B2646&amp;"_2.mp3","AmE")</f>
        <v/>
      </c>
      <c r="I2646" s="18">
        <f>HYPERLINK("http://dict.youdao.com/w/"&amp;B2646,"有道")</f>
        <v/>
      </c>
    </row>
    <row r="2647">
      <c r="B2647" s="1" t="inlineStr">
        <is>
          <t>cubical</t>
        </is>
      </c>
      <c r="C2647" s="7">
        <f>"adj. [数] 立方的；立方体的；体积的"</f>
        <v/>
      </c>
      <c r="G2647" s="18">
        <f>HYPERLINK("D:\python\英语学习\voices\"&amp;B2647&amp;"_1.mp3","BrE")</f>
        <v/>
      </c>
      <c r="H2647" s="18">
        <f>HYPERLINK("D:\python\英语学习\voices\"&amp;B2647&amp;"_2.mp3","AmE")</f>
        <v/>
      </c>
      <c r="I2647" s="18">
        <f>HYPERLINK("http://dict.youdao.com/w/"&amp;B2647,"有道")</f>
        <v/>
      </c>
    </row>
    <row r="2648">
      <c r="B2648" s="1" t="inlineStr">
        <is>
          <t>orifices</t>
        </is>
      </c>
      <c r="C2648" s="7">
        <f>"窍"</f>
        <v/>
      </c>
      <c r="G2648" s="18">
        <f>HYPERLINK("D:\python\英语学习\voices\"&amp;B2648&amp;"_1.mp3","BrE")</f>
        <v/>
      </c>
      <c r="H2648" s="18">
        <f>HYPERLINK("D:\python\英语学习\voices\"&amp;B2648&amp;"_2.mp3","AmE")</f>
        <v/>
      </c>
      <c r="I2648" s="18">
        <f>HYPERLINK("http://dict.youdao.com/w/"&amp;B2648,"有道")</f>
        <v/>
      </c>
    </row>
    <row r="2649">
      <c r="A2649" t="inlineStr">
        <is>
          <t>unnecessary</t>
        </is>
      </c>
      <c r="B2649" s="1" t="inlineStr">
        <is>
          <t>orifice</t>
        </is>
      </c>
      <c r="C2649" s="7">
        <f>"n. [机] 孔口"</f>
        <v/>
      </c>
      <c r="G2649" s="18">
        <f>HYPERLINK("D:\python\英语学习\voices\"&amp;B2649&amp;"_1.mp3","BrE")</f>
        <v/>
      </c>
      <c r="H2649" s="18">
        <f>HYPERLINK("D:\python\英语学习\voices\"&amp;B2649&amp;"_2.mp3","AmE")</f>
        <v/>
      </c>
      <c r="I2649" s="18">
        <f>HYPERLINK("http://dict.youdao.com/w/"&amp;B2649,"有道")</f>
        <v/>
      </c>
    </row>
    <row r="2650">
      <c r="B2650" s="1" t="inlineStr">
        <is>
          <t>mouthpiece</t>
        </is>
      </c>
      <c r="C2650" s="7">
        <f>"n. 喉舌；代言人；送话口"</f>
        <v/>
      </c>
      <c r="G2650" s="18">
        <f>HYPERLINK("D:\python\英语学习\voices\"&amp;B2650&amp;"_1.mp3","BrE")</f>
        <v/>
      </c>
      <c r="H2650" s="18">
        <f>HYPERLINK("D:\python\英语学习\voices\"&amp;B2650&amp;"_2.mp3","AmE")</f>
        <v/>
      </c>
      <c r="I2650" s="18">
        <f>HYPERLINK("http://dict.youdao.com/w/"&amp;B2650,"有道")</f>
        <v/>
      </c>
    </row>
    <row customHeight="1" ht="57" r="2651">
      <c r="B2651" s="1" t="inlineStr">
        <is>
          <t>lunge</t>
        </is>
      </c>
      <c r="C2651" s="7">
        <f>"v. 猛冲，猛扑；刺，戳；用驯马索训练"&amp;CHAR(10)&amp;"n. 猛冲，猛扑；（击剑中）弓箭步（刺）；驯马索；北美狗鱼"&amp;CHAR(10)&amp;"n. (Lunge) （美、印）隆格（人名）"</f>
        <v/>
      </c>
      <c r="G2651" s="18">
        <f>HYPERLINK("D:\python\英语学习\voices\"&amp;B2651&amp;"_1.mp3","BrE")</f>
        <v/>
      </c>
      <c r="H2651" s="18">
        <f>HYPERLINK("D:\python\英语学习\voices\"&amp;B2651&amp;"_2.mp3","AmE")</f>
        <v/>
      </c>
      <c r="I2651" s="18">
        <f>HYPERLINK("http://dict.youdao.com/w/"&amp;B2651,"有道")</f>
        <v/>
      </c>
    </row>
    <row customHeight="1" ht="85.5" r="2652">
      <c r="B2652" s="1" t="inlineStr">
        <is>
          <t>flicker</t>
        </is>
      </c>
      <c r="C2652" s="7">
        <f>"v. 闪烁，摇曳；颤动；（情绪等）闪现；快速瞥视；扑动翅膀"&amp;CHAR(10)&amp;"n. 闪烁，闪光；霎时的感情（犹豫、激动等）；抖动，颤动；（电影的）图像闪烁；微小动作；（鸟）扑翅鴷属"&amp;CHAR(10)&amp;"n. (Flicker) （美、澳、英）弗利克（人名）"</f>
        <v/>
      </c>
      <c r="G2652" s="18">
        <f>HYPERLINK("D:\python\英语学习\voices\"&amp;B2652&amp;"_1.mp3","BrE")</f>
        <v/>
      </c>
      <c r="H2652" s="18">
        <f>HYPERLINK("D:\python\英语学习\voices\"&amp;B2652&amp;"_2.mp3","AmE")</f>
        <v/>
      </c>
      <c r="I2652" s="18">
        <f>HYPERLINK("http://dict.youdao.com/w/"&amp;B2652,"有道")</f>
        <v/>
      </c>
    </row>
    <row r="2653">
      <c r="B2653" s="1" t="inlineStr">
        <is>
          <t>resentment</t>
        </is>
      </c>
      <c r="C2653" s="7">
        <f>"n. 愤恨，怨恨"</f>
        <v/>
      </c>
      <c r="G2653" s="18">
        <f>HYPERLINK("D:\python\英语学习\voices\"&amp;B2653&amp;"_1.mp3","BrE")</f>
        <v/>
      </c>
      <c r="H2653" s="18">
        <f>HYPERLINK("D:\python\英语学习\voices\"&amp;B2653&amp;"_2.mp3","AmE")</f>
        <v/>
      </c>
      <c r="I2653" s="18">
        <f>HYPERLINK("http://dict.youdao.com/w/"&amp;B2653,"有道")</f>
        <v/>
      </c>
    </row>
    <row customHeight="1" ht="28.5" r="2654">
      <c r="A2654" s="1" t="inlineStr">
        <is>
          <t>practice</t>
        </is>
      </c>
      <c r="B2654" s="1" t="inlineStr">
        <is>
          <t>debris</t>
        </is>
      </c>
      <c r="C2654" s="7">
        <f>"n. 碎片，残骸"&amp;CHAR(10)&amp;"n. (Debris)人名；(法)德布里"</f>
        <v/>
      </c>
      <c r="G2654" s="18">
        <f>HYPERLINK("D:\python\英语学习\voices\"&amp;B2654&amp;"_1.mp3","BrE")</f>
        <v/>
      </c>
      <c r="H2654" s="18">
        <f>HYPERLINK("D:\python\英语学习\voices\"&amp;B2654&amp;"_2.mp3","AmE")</f>
        <v/>
      </c>
      <c r="I2654" s="18">
        <f>HYPERLINK("http://dict.youdao.com/w/"&amp;B2654,"有道")</f>
        <v/>
      </c>
    </row>
    <row r="2655">
      <c r="B2655" s="1" t="inlineStr">
        <is>
          <t>shrewish</t>
        </is>
      </c>
      <c r="C2655" s="7">
        <f>"adj. 泼妇一样的；爱骂街的；脾气暴躁的"</f>
        <v/>
      </c>
      <c r="G2655" s="18">
        <f>HYPERLINK("D:\python\英语学习\voices\"&amp;B2655&amp;"_1.mp3","BrE")</f>
        <v/>
      </c>
      <c r="H2655" s="18">
        <f>HYPERLINK("D:\python\英语学习\voices\"&amp;B2655&amp;"_2.mp3","AmE")</f>
        <v/>
      </c>
      <c r="I2655" s="18">
        <f>HYPERLINK("http://dict.youdao.com/w/"&amp;B2655,"有道")</f>
        <v/>
      </c>
    </row>
    <row customHeight="1" ht="42.75" r="2656">
      <c r="B2656" s="1" t="inlineStr">
        <is>
          <t>gleaming</t>
        </is>
      </c>
      <c r="C2656" s="7">
        <f>"n. 微弱的闪光，瞬息的一现"&amp;CHAR(10)&amp;"adj. 闪闪发光的"&amp;CHAR(10)&amp;"v. 闪烁， 隐约地闪现（gleam的ing形式）"</f>
        <v/>
      </c>
      <c r="G2656" s="18">
        <f>HYPERLINK("D:\python\英语学习\voices\"&amp;B2656&amp;"_1.mp3","BrE")</f>
        <v/>
      </c>
      <c r="H2656" s="18">
        <f>HYPERLINK("D:\python\英语学习\voices\"&amp;B2656&amp;"_2.mp3","AmE")</f>
        <v/>
      </c>
      <c r="I2656" s="18">
        <f>HYPERLINK("http://dict.youdao.com/w/"&amp;B2656,"有道")</f>
        <v/>
      </c>
    </row>
    <row r="2657">
      <c r="B2657" s="1" t="inlineStr">
        <is>
          <t>cylindrical</t>
        </is>
      </c>
      <c r="C2657" s="7">
        <f>"adj. 圆柱形的；圆柱体的"</f>
        <v/>
      </c>
      <c r="G2657" s="18">
        <f>HYPERLINK("D:\python\英语学习\voices\"&amp;B2657&amp;"_1.mp3","BrE")</f>
        <v/>
      </c>
      <c r="H2657" s="18">
        <f>HYPERLINK("D:\python\英语学习\voices\"&amp;B2657&amp;"_2.mp3","AmE")</f>
        <v/>
      </c>
      <c r="I2657" s="18">
        <f>HYPERLINK("http://dict.youdao.com/w/"&amp;B2657,"有道")</f>
        <v/>
      </c>
    </row>
    <row customHeight="1" ht="28.5" r="2658">
      <c r="B2658" s="1" t="inlineStr">
        <is>
          <t>buttock</t>
        </is>
      </c>
      <c r="C2658" s="7">
        <f>"n. 半边臀部；船尾"&amp;CHAR(10)&amp;"vt. 用腰摔"</f>
        <v/>
      </c>
      <c r="G2658" s="18">
        <f>HYPERLINK("D:\python\英语学习\voices\"&amp;B2658&amp;"_1.mp3","BrE")</f>
        <v/>
      </c>
      <c r="H2658" s="18">
        <f>HYPERLINK("D:\python\英语学习\voices\"&amp;B2658&amp;"_2.mp3","AmE")</f>
        <v/>
      </c>
      <c r="I2658" s="18">
        <f>HYPERLINK("http://dict.youdao.com/w/"&amp;B2658,"有道")</f>
        <v/>
      </c>
    </row>
    <row r="2659">
      <c r="B2659" s="1" t="inlineStr">
        <is>
          <t>loathed</t>
        </is>
      </c>
      <c r="C2659" s="7">
        <f>"vt. 讨厌，厌恶"</f>
        <v/>
      </c>
      <c r="G2659" s="18">
        <f>HYPERLINK("D:\python\英语学习\voices\"&amp;B2659&amp;"_1.mp3","BrE")</f>
        <v/>
      </c>
      <c r="H2659" s="18">
        <f>HYPERLINK("D:\python\英语学习\voices\"&amp;B2659&amp;"_2.mp3","AmE")</f>
        <v/>
      </c>
      <c r="I2659" s="18">
        <f>HYPERLINK("http://dict.youdao.com/w/"&amp;B2659,"有道")</f>
        <v/>
      </c>
    </row>
    <row r="2660">
      <c r="B2660" s="1" t="inlineStr">
        <is>
          <t>truthfulness</t>
        </is>
      </c>
      <c r="C2660" s="7">
        <f>"n. 真实；坦率；正当"</f>
        <v/>
      </c>
      <c r="G2660" s="18">
        <f>HYPERLINK("D:\python\英语学习\voices\"&amp;B2660&amp;"_1.mp3","BrE")</f>
        <v/>
      </c>
      <c r="H2660" s="18">
        <f>HYPERLINK("D:\python\英语学习\voices\"&amp;B2660&amp;"_2.mp3","AmE")</f>
        <v/>
      </c>
      <c r="I2660" s="18">
        <f>HYPERLINK("http://dict.youdao.com/w/"&amp;B2660,"有道")</f>
        <v/>
      </c>
    </row>
    <row r="2661">
      <c r="B2661" s="1" t="inlineStr">
        <is>
          <t>labyrinthine</t>
        </is>
      </c>
      <c r="C2661" s="7">
        <f>"adj. 迷宫的；复杂的"</f>
        <v/>
      </c>
      <c r="G2661" s="18">
        <f>HYPERLINK("D:\python\英语学习\voices\"&amp;B2661&amp;"_1.mp3","BrE")</f>
        <v/>
      </c>
      <c r="H2661" s="18">
        <f>HYPERLINK("D:\python\英语学习\voices\"&amp;B2661&amp;"_2.mp3","AmE")</f>
        <v/>
      </c>
      <c r="I2661" s="18">
        <f>HYPERLINK("http://dict.youdao.com/w/"&amp;B2661,"有道")</f>
        <v/>
      </c>
    </row>
    <row r="2662">
      <c r="B2662" s="1" t="inlineStr">
        <is>
          <t>genially</t>
        </is>
      </c>
      <c r="C2662" s="7">
        <f>"adv. 和蔼地；快活地；亲切地"</f>
        <v/>
      </c>
      <c r="G2662" s="18">
        <f>HYPERLINK("D:\python\英语学习\voices\"&amp;B2662&amp;"_1.mp3","BrE")</f>
        <v/>
      </c>
      <c r="H2662" s="18">
        <f>HYPERLINK("D:\python\英语学习\voices\"&amp;B2662&amp;"_2.mp3","AmE")</f>
        <v/>
      </c>
      <c r="I2662" s="18">
        <f>HYPERLINK("http://dict.youdao.com/w/"&amp;B2662,"有道")</f>
        <v/>
      </c>
    </row>
    <row r="2663">
      <c r="B2663" s="1" t="inlineStr">
        <is>
          <t>genial</t>
        </is>
      </c>
      <c r="C2663" s="7">
        <f>"adj. 亲切的，友好的；和蔼的；适宜的"</f>
        <v/>
      </c>
      <c r="G2663" s="18">
        <f>HYPERLINK("D:\python\英语学习\voices\"&amp;B2663&amp;"_1.mp3","BrE")</f>
        <v/>
      </c>
      <c r="H2663" s="18">
        <f>HYPERLINK("D:\python\英语学习\voices\"&amp;B2663&amp;"_2.mp3","AmE")</f>
        <v/>
      </c>
      <c r="I2663" s="18">
        <f>HYPERLINK("http://dict.youdao.com/w/"&amp;B2663,"有道")</f>
        <v/>
      </c>
    </row>
    <row r="2664">
      <c r="B2664" s="1" t="inlineStr">
        <is>
          <t>instructress</t>
        </is>
      </c>
      <c r="C2664" s="7">
        <f>"n. 女教师；女指导"</f>
        <v/>
      </c>
      <c r="G2664" s="18">
        <f>HYPERLINK("D:\python\英语学习\voices\"&amp;B2664&amp;"_1.mp3","BrE")</f>
        <v/>
      </c>
      <c r="H2664" s="18">
        <f>HYPERLINK("D:\python\英语学习\voices\"&amp;B2664&amp;"_2.mp3","AmE")</f>
        <v/>
      </c>
      <c r="I2664" s="18">
        <f>HYPERLINK("http://dict.youdao.com/w/"&amp;B2664,"有道")</f>
        <v/>
      </c>
    </row>
    <row customHeight="1" ht="28.5" r="2665">
      <c r="B2665" s="1" t="inlineStr">
        <is>
          <t>gyrating</t>
        </is>
      </c>
      <c r="C2665" s="7">
        <f>"vi. 旋转"&amp;CHAR(10)&amp;"adj. 旋涡状的"</f>
        <v/>
      </c>
      <c r="G2665" s="18">
        <f>HYPERLINK("D:\python\英语学习\voices\"&amp;B2665&amp;"_1.mp3","BrE")</f>
        <v/>
      </c>
      <c r="H2665" s="18">
        <f>HYPERLINK("D:\python\英语学习\voices\"&amp;B2665&amp;"_2.mp3","AmE")</f>
        <v/>
      </c>
      <c r="I2665" s="18">
        <f>HYPERLINK("http://dict.youdao.com/w/"&amp;B2665,"有道")</f>
        <v/>
      </c>
    </row>
    <row r="2666">
      <c r="B2666" s="1" t="inlineStr">
        <is>
          <t>furtive</t>
        </is>
      </c>
      <c r="C2666" s="7">
        <f>"adj. 鬼鬼祟祟的，秘密的"</f>
        <v/>
      </c>
      <c r="G2666" s="18">
        <f>HYPERLINK("D:\python\英语学习\voices\"&amp;B2666&amp;"_1.mp3","BrE")</f>
        <v/>
      </c>
      <c r="H2666" s="18">
        <f>HYPERLINK("D:\python\英语学习\voices\"&amp;B2666&amp;"_2.mp3","AmE")</f>
        <v/>
      </c>
      <c r="I2666" s="18">
        <f>HYPERLINK("http://dict.youdao.com/w/"&amp;B2666,"有道")</f>
        <v/>
      </c>
    </row>
    <row r="2667">
      <c r="B2667" s="1" t="inlineStr">
        <is>
          <t>satisfactorily</t>
        </is>
      </c>
      <c r="C2667" s="7">
        <f>"adv. 令人满意地"</f>
        <v/>
      </c>
      <c r="G2667" s="18">
        <f>HYPERLINK("D:\python\英语学习\voices\"&amp;B2667&amp;"_1.mp3","BrE")</f>
        <v/>
      </c>
      <c r="H2667" s="18">
        <f>HYPERLINK("D:\python\英语学习\voices\"&amp;B2667&amp;"_2.mp3","AmE")</f>
        <v/>
      </c>
      <c r="I2667" s="18">
        <f>HYPERLINK("http://dict.youdao.com/w/"&amp;B2667,"有道")</f>
        <v/>
      </c>
    </row>
    <row customHeight="1" ht="28.5" r="2668">
      <c r="B2668" s="1" t="inlineStr">
        <is>
          <t>bugger</t>
        </is>
      </c>
      <c r="C2668" s="7">
        <f>"n. 家伙；同性恋者；鸡奸者"&amp;CHAR(10)&amp;"vt. 与…鸡奸；毁坏"</f>
        <v/>
      </c>
      <c r="G2668" s="18">
        <f>HYPERLINK("D:\python\英语学习\voices\"&amp;B2668&amp;"_1.mp3","BrE")</f>
        <v/>
      </c>
      <c r="H2668" s="18">
        <f>HYPERLINK("D:\python\英语学习\voices\"&amp;B2668&amp;"_2.mp3","AmE")</f>
        <v/>
      </c>
      <c r="I2668" s="18">
        <f>HYPERLINK("http://dict.youdao.com/w/"&amp;B2668,"有道")</f>
        <v/>
      </c>
    </row>
    <row customHeight="1" ht="71.25" r="2669">
      <c r="B2669" s="1" t="inlineStr">
        <is>
          <t>well</t>
        </is>
      </c>
      <c r="C2669" s="7">
        <f>"adv. 很好地；充分地；满意地；适当地"&amp;CHAR(10)&amp;"adj. 良好的；健康的；适宜的"&amp;CHAR(10)&amp;"n. 井；源泉"&amp;CHAR(10)&amp;"v. 涌出"&amp;CHAR(10)&amp;"n. (Well)人名；(英、德、荷)韦尔"</f>
        <v/>
      </c>
      <c r="G2669" s="18">
        <f>HYPERLINK("D:\python\英语学习\voices\"&amp;B2669&amp;"_1.mp3","BrE")</f>
        <v/>
      </c>
      <c r="H2669" s="18">
        <f>HYPERLINK("D:\python\英语学习\voices\"&amp;B2669&amp;"_2.mp3","AmE")</f>
        <v/>
      </c>
      <c r="I2669" s="18">
        <f>HYPERLINK("http://dict.youdao.com/w/"&amp;B2669,"有道")</f>
        <v/>
      </c>
    </row>
    <row customHeight="1" ht="57" r="2670">
      <c r="B2670" s="1" t="inlineStr">
        <is>
          <t>reek</t>
        </is>
      </c>
      <c r="C2670" s="7">
        <f>"v. 散发臭味；带有令人不快（或不满）的内容；散发蒸汽（或浓烟）"&amp;CHAR(10)&amp;"n. 臭味；烟；蒸汽"&amp;CHAR(10)&amp;"n. (Reek) （美）瑞克（人名）"</f>
        <v/>
      </c>
      <c r="G2670" s="18">
        <f>HYPERLINK("D:\python\英语学习\voices\"&amp;B2670&amp;"_1.mp3","BrE")</f>
        <v/>
      </c>
      <c r="H2670" s="18">
        <f>HYPERLINK("D:\python\英语学习\voices\"&amp;B2670&amp;"_2.mp3","AmE")</f>
        <v/>
      </c>
      <c r="I2670" s="18">
        <f>HYPERLINK("http://dict.youdao.com/w/"&amp;B2670,"有道")</f>
        <v/>
      </c>
    </row>
    <row customHeight="1" ht="42.75" r="2671">
      <c r="B2671" s="1" t="inlineStr">
        <is>
          <t>bunk</t>
        </is>
      </c>
      <c r="C2671" s="7">
        <f>"n. 铺位；床铺；座床"&amp;CHAR(10)&amp;"vi. 睡在铺上；逃跑"&amp;CHAR(10)&amp;"vt. 为…提供铺位；逃课"</f>
        <v/>
      </c>
      <c r="G2671" s="18">
        <f>HYPERLINK("D:\python\英语学习\voices\"&amp;B2671&amp;"_1.mp3","BrE")</f>
        <v/>
      </c>
      <c r="H2671" s="18">
        <f>HYPERLINK("D:\python\英语学习\voices\"&amp;B2671&amp;"_2.mp3","AmE")</f>
        <v/>
      </c>
      <c r="I2671" s="18">
        <f>HYPERLINK("http://dict.youdao.com/w/"&amp;B2671,"有道")</f>
        <v/>
      </c>
    </row>
    <row r="2672">
      <c r="B2672" s="1" t="inlineStr">
        <is>
          <t>dreamy</t>
        </is>
      </c>
      <c r="C2672" s="7">
        <f>"adj. 梦想的；空幻的；轻柔的；恍惚的"</f>
        <v/>
      </c>
      <c r="G2672" s="18">
        <f>HYPERLINK("D:\python\英语学习\voices\"&amp;B2672&amp;"_1.mp3","BrE")</f>
        <v/>
      </c>
      <c r="H2672" s="18">
        <f>HYPERLINK("D:\python\英语学习\voices\"&amp;B2672&amp;"_2.mp3","AmE")</f>
        <v/>
      </c>
      <c r="I2672" s="18">
        <f>HYPERLINK("http://dict.youdao.com/w/"&amp;B2672,"有道")</f>
        <v/>
      </c>
    </row>
    <row customHeight="1" ht="42.75" r="2673">
      <c r="B2673" s="1" t="inlineStr">
        <is>
          <t>whimper</t>
        </is>
      </c>
      <c r="C2673" s="7">
        <f>"v. 呜咽，啜泣；啜泣着说；低声抱怨"&amp;CHAR(10)&amp;"n. 呜咽声，啜泣声；牢骚，怨声；微弱的声音；虎头蛇尾"</f>
        <v/>
      </c>
      <c r="G2673" s="18">
        <f>HYPERLINK("D:\python\英语学习\voices\"&amp;B2673&amp;"_1.mp3","BrE")</f>
        <v/>
      </c>
      <c r="H2673" s="18">
        <f>HYPERLINK("D:\python\英语学习\voices\"&amp;B2673&amp;"_2.mp3","AmE")</f>
        <v/>
      </c>
      <c r="I2673" s="18">
        <f>HYPERLINK("http://dict.youdao.com/w/"&amp;B2673,"有道")</f>
        <v/>
      </c>
    </row>
    <row r="2674">
      <c r="B2674" s="1" t="inlineStr">
        <is>
          <t>whimpering</t>
        </is>
      </c>
      <c r="C2674" s="7">
        <f>"v. 幽咽（whimper的ing形式）"</f>
        <v/>
      </c>
      <c r="G2674" s="18">
        <f>HYPERLINK("D:\python\英语学习\voices\"&amp;B2674&amp;"_1.mp3","BrE")</f>
        <v/>
      </c>
      <c r="H2674" s="18">
        <f>HYPERLINK("D:\python\英语学习\voices\"&amp;B2674&amp;"_2.mp3","AmE")</f>
        <v/>
      </c>
      <c r="I2674" s="18">
        <f>HYPERLINK("http://dict.youdao.com/w/"&amp;B2674,"有道")</f>
        <v/>
      </c>
    </row>
    <row r="2675">
      <c r="B2675" s="1" t="inlineStr">
        <is>
          <t>airstrip</t>
        </is>
      </c>
      <c r="C2675" s="7">
        <f>"n. 飞机跑道"</f>
        <v/>
      </c>
      <c r="G2675" s="18">
        <f>HYPERLINK("D:\python\英语学习\voices\"&amp;B2675&amp;"_1.mp3","BrE")</f>
        <v/>
      </c>
      <c r="H2675" s="18">
        <f>HYPERLINK("D:\python\英语学习\voices\"&amp;B2675&amp;"_2.mp3","AmE")</f>
        <v/>
      </c>
      <c r="I2675" s="18">
        <f>HYPERLINK("http://dict.youdao.com/w/"&amp;B2675,"有道")</f>
        <v/>
      </c>
    </row>
    <row r="2676">
      <c r="B2676" s="1" t="inlineStr">
        <is>
          <t>tunic</t>
        </is>
      </c>
      <c r="C2676" s="7">
        <f>"n. 束腰外衣；被膜"</f>
        <v/>
      </c>
      <c r="G2676" s="18">
        <f>HYPERLINK("D:\python\英语学习\voices\"&amp;B2676&amp;"_1.mp3","BrE")</f>
        <v/>
      </c>
      <c r="H2676" s="18">
        <f>HYPERLINK("D:\python\英语学习\voices\"&amp;B2676&amp;"_2.mp3","AmE")</f>
        <v/>
      </c>
      <c r="I2676" s="18">
        <f>HYPERLINK("http://dict.youdao.com/w/"&amp;B2676,"有道")</f>
        <v/>
      </c>
    </row>
    <row r="2677">
      <c r="B2677" s="1" t="inlineStr">
        <is>
          <t>scrawny</t>
        </is>
      </c>
      <c r="C2677" s="7">
        <f>"adj. 骨瘦如柴的"</f>
        <v/>
      </c>
      <c r="G2677" s="18">
        <f>HYPERLINK("D:\python\英语学习\voices\"&amp;B2677&amp;"_1.mp3","BrE")</f>
        <v/>
      </c>
      <c r="H2677" s="18">
        <f>HYPERLINK("D:\python\英语学习\voices\"&amp;B2677&amp;"_2.mp3","AmE")</f>
        <v/>
      </c>
      <c r="I2677" s="18">
        <f>HYPERLINK("http://dict.youdao.com/w/"&amp;B2677,"有道")</f>
        <v/>
      </c>
    </row>
    <row customHeight="1" ht="71.25" r="2678">
      <c r="B2678" s="1" t="inlineStr">
        <is>
          <t>yap</t>
        </is>
      </c>
      <c r="C2678" s="7">
        <f>"v. （小狗）狂吠，乱叫；（非正式）哇哩哇啦地说"&amp;CHAR(10)&amp;"n. 狂吠，尖叫；哇啦哇啦的说话；（非正式）嘴巴"&amp;CHAR(10)&amp;"n. (Yap) （菲）叶（人名）"</f>
        <v/>
      </c>
      <c r="G2678" s="18">
        <f>HYPERLINK("D:\python\英语学习\voices\"&amp;B2678&amp;"_1.mp3","BrE")</f>
        <v/>
      </c>
      <c r="H2678" s="18">
        <f>HYPERLINK("D:\python\英语学习\voices\"&amp;B2678&amp;"_2.mp3","AmE")</f>
        <v/>
      </c>
      <c r="I2678" s="18">
        <f>HYPERLINK("http://dict.youdao.com/w/"&amp;B2678,"有道")</f>
        <v/>
      </c>
    </row>
    <row customHeight="1" ht="28.5" r="2679">
      <c r="B2679" s="1" t="inlineStr">
        <is>
          <t>yapped</t>
        </is>
      </c>
      <c r="C2679" s="7">
        <f>"adj. 卷边装钉的"&amp;CHAR(10)&amp;"v. 狂吠；唠叨（yap的过去分词和过去式）"</f>
        <v/>
      </c>
      <c r="G2679" s="18">
        <f>HYPERLINK("D:\python\英语学习\voices\"&amp;B2679&amp;"_1.mp3","BrE")</f>
        <v/>
      </c>
      <c r="H2679" s="18">
        <f>HYPERLINK("D:\python\英语学习\voices\"&amp;B2679&amp;"_2.mp3","AmE")</f>
        <v/>
      </c>
      <c r="I2679" s="18">
        <f>HYPERLINK("http://dict.youdao.com/w/"&amp;B2679,"有道")</f>
        <v/>
      </c>
    </row>
    <row r="2680">
      <c r="B2680" s="1" t="inlineStr">
        <is>
          <t>singlet</t>
        </is>
      </c>
      <c r="C2680" s="7">
        <f>"n. 汗衫；单衬衣；单谱线"</f>
        <v/>
      </c>
      <c r="G2680" s="18">
        <f>HYPERLINK("D:\python\英语学习\voices\"&amp;B2680&amp;"_1.mp3","BrE")</f>
        <v/>
      </c>
      <c r="H2680" s="18">
        <f>HYPERLINK("D:\python\英语学习\voices\"&amp;B2680&amp;"_2.mp3","AmE")</f>
        <v/>
      </c>
      <c r="I2680" s="18">
        <f>HYPERLINK("http://dict.youdao.com/w/"&amp;B2680,"有道")</f>
        <v/>
      </c>
    </row>
    <row customHeight="1" ht="28.5" r="2681">
      <c r="B2681" s="1" t="inlineStr">
        <is>
          <t>varicose</t>
        </is>
      </c>
      <c r="C2681" s="7">
        <f>"adj. （静脉） 曲张的；（腿）受静脉曲张影响的"</f>
        <v/>
      </c>
      <c r="G2681" s="18">
        <f>HYPERLINK("D:\python\英语学习\voices\"&amp;B2681&amp;"_1.mp3","BrE")</f>
        <v/>
      </c>
      <c r="H2681" s="18">
        <f>HYPERLINK("D:\python\英语学习\voices\"&amp;B2681&amp;"_2.mp3","AmE")</f>
        <v/>
      </c>
      <c r="I2681" s="18">
        <f>HYPERLINK("http://dict.youdao.com/w/"&amp;B2681,"有道")</f>
        <v/>
      </c>
    </row>
    <row customHeight="1" ht="28.5" r="2682">
      <c r="B2682" s="1" t="inlineStr">
        <is>
          <t>itching</t>
        </is>
      </c>
      <c r="C2682" s="7">
        <f>"n. 痒（同 itch）"&amp;CHAR(10)&amp;"v. （使）发痒；渴望（itch 的现在分词形式）"</f>
        <v/>
      </c>
      <c r="G2682" s="18">
        <f>HYPERLINK("D:\python\英语学习\voices\"&amp;B2682&amp;"_1.mp3","BrE")</f>
        <v/>
      </c>
      <c r="H2682" s="18">
        <f>HYPERLINK("D:\python\英语学习\voices\"&amp;B2682&amp;"_2.mp3","AmE")</f>
        <v/>
      </c>
      <c r="I2682" s="18">
        <f>HYPERLINK("http://dict.youdao.com/w/"&amp;B2682,"有道")</f>
        <v/>
      </c>
    </row>
    <row r="2683">
      <c r="B2683" s="1" t="inlineStr">
        <is>
          <t>disdainfully</t>
        </is>
      </c>
      <c r="C2683" s="7">
        <f>"adv. 轻蔑地；倨傲地"</f>
        <v/>
      </c>
      <c r="G2683" s="18">
        <f>HYPERLINK("D:\python\英语学习\voices\"&amp;B2683&amp;"_1.mp3","BrE")</f>
        <v/>
      </c>
      <c r="H2683" s="18">
        <f>HYPERLINK("D:\python\英语学习\voices\"&amp;B2683&amp;"_2.mp3","AmE")</f>
        <v/>
      </c>
      <c r="I2683" s="18">
        <f>HYPERLINK("http://dict.youdao.com/w/"&amp;B2683,"有道")</f>
        <v/>
      </c>
    </row>
    <row r="2684">
      <c r="B2684" s="1" t="inlineStr">
        <is>
          <t>disdainful</t>
        </is>
      </c>
      <c r="C2684" s="7">
        <f>"adj. 轻蔑的；倨傲的；鄙视的"</f>
        <v/>
      </c>
      <c r="E2684" s="6" t="inlineStr">
        <is>
          <t>'=sneering,scornful,derisive,condescending,aloof</t>
        </is>
      </c>
      <c r="G2684" s="18">
        <f>HYPERLINK("D:\python\英语学习\voices\"&amp;B2684&amp;"_1.mp3","BrE")</f>
        <v/>
      </c>
      <c r="H2684" s="18">
        <f>HYPERLINK("D:\python\英语学习\voices\"&amp;B2684&amp;"_2.mp3","AmE")</f>
        <v/>
      </c>
      <c r="I2684" s="18">
        <f>HYPERLINK("http://dict.youdao.com/w/"&amp;B2684,"有道")</f>
        <v/>
      </c>
    </row>
    <row customHeight="1" ht="28.5" r="2685">
      <c r="B2685" s="1" t="inlineStr">
        <is>
          <t>disdain</t>
        </is>
      </c>
      <c r="C2685" s="7">
        <f>"n. 蔑视"&amp;CHAR(10)&amp;"vt. 鄙弃"</f>
        <v/>
      </c>
      <c r="G2685" s="18">
        <f>HYPERLINK("D:\python\英语学习\voices\"&amp;B2685&amp;"_1.mp3","BrE")</f>
        <v/>
      </c>
      <c r="H2685" s="18">
        <f>HYPERLINK("D:\python\英语学习\voices\"&amp;B2685&amp;"_2.mp3","AmE")</f>
        <v/>
      </c>
      <c r="I2685" s="18">
        <f>HYPERLINK("http://dict.youdao.com/w/"&amp;B2685,"有道")</f>
        <v/>
      </c>
    </row>
    <row customHeight="1" ht="28.5" r="2686">
      <c r="B2686" s="1" t="inlineStr">
        <is>
          <t>annihilate</t>
        </is>
      </c>
      <c r="C2686" s="7">
        <f>"vt. 歼灭；战胜；废止"&amp;CHAR(10)&amp;"vi. 湮灭；湮没"</f>
        <v/>
      </c>
      <c r="E2686" s="6" t="inlineStr">
        <is>
          <t>注意发音h不发音；注意拼写</t>
        </is>
      </c>
      <c r="G2686" s="18">
        <f>HYPERLINK("D:\python\英语学习\voices\"&amp;B2686&amp;"_1.mp3","BrE")</f>
        <v/>
      </c>
      <c r="H2686" s="18">
        <f>HYPERLINK("D:\python\英语学习\voices\"&amp;B2686&amp;"_2.mp3","AmE")</f>
        <v/>
      </c>
      <c r="I2686" s="18">
        <f>HYPERLINK("http://dict.youdao.com/w/"&amp;B2686,"有道")</f>
        <v/>
      </c>
    </row>
    <row customHeight="1" ht="28.5" r="2687">
      <c r="B2687" s="1" t="inlineStr">
        <is>
          <t>nought</t>
        </is>
      </c>
      <c r="C2687" s="7">
        <f>"n. 零；（用于某些短语）无，乌有"&amp;CHAR(10)&amp;"pron. 无，没有什么（等于 naught）"</f>
        <v/>
      </c>
      <c r="G2687" s="18">
        <f>HYPERLINK("D:\python\英语学习\voices\"&amp;B2687&amp;"_1.mp3","BrE")</f>
        <v/>
      </c>
      <c r="H2687" s="18">
        <f>HYPERLINK("D:\python\英语学习\voices\"&amp;B2687&amp;"_2.mp3","AmE")</f>
        <v/>
      </c>
      <c r="I2687" s="18">
        <f>HYPERLINK("http://dict.youdao.com/w/"&amp;B2687,"有道")</f>
        <v/>
      </c>
    </row>
    <row r="2688">
      <c r="B2688" s="1" t="inlineStr">
        <is>
          <t>dingy</t>
        </is>
      </c>
      <c r="C2688" s="7">
        <f>"adj. 昏暗的；肮脏的"</f>
        <v/>
      </c>
      <c r="G2688" s="18">
        <f>HYPERLINK("D:\python\英语学习\voices\"&amp;B2688&amp;"_1.mp3","BrE")</f>
        <v/>
      </c>
      <c r="H2688" s="18">
        <f>HYPERLINK("D:\python\英语学习\voices\"&amp;B2688&amp;"_2.mp3","AmE")</f>
        <v/>
      </c>
      <c r="I2688" s="18">
        <f>HYPERLINK("http://dict.youdao.com/w/"&amp;B2688,"有道")</f>
        <v/>
      </c>
    </row>
    <row customHeight="1" ht="28.5" r="2689">
      <c r="B2689" s="1" t="inlineStr">
        <is>
          <t>molehill</t>
        </is>
      </c>
      <c r="C2689" s="7">
        <f>"n. （由鼹鼠打洞扒出的泥土堆成的）鼹鼠丘；琐事；无意义的事；小困难（或障碍）"</f>
        <v/>
      </c>
      <c r="G2689" s="18">
        <f>HYPERLINK("D:\python\英语学习\voices\"&amp;B2689&amp;"_1.mp3","BrE")</f>
        <v/>
      </c>
      <c r="H2689" s="18">
        <f>HYPERLINK("D:\python\英语学习\voices\"&amp;B2689&amp;"_2.mp3","AmE")</f>
        <v/>
      </c>
      <c r="I2689" s="18">
        <f>HYPERLINK("http://dict.youdao.com/w/"&amp;B2689,"有道")</f>
        <v/>
      </c>
    </row>
    <row customHeight="1" ht="28.5" r="2690">
      <c r="B2690" s="1" t="inlineStr">
        <is>
          <t>turf</t>
        </is>
      </c>
      <c r="C2690" s="7">
        <f>"n. 草皮；泥炭；跑马场"&amp;CHAR(10)&amp;"vt. 覆草皮于；驱逐；强制赶走"</f>
        <v/>
      </c>
      <c r="G2690" s="18">
        <f>HYPERLINK("D:\python\英语学习\voices\"&amp;B2690&amp;"_1.mp3","BrE")</f>
        <v/>
      </c>
      <c r="H2690" s="18">
        <f>HYPERLINK("D:\python\英语学习\voices\"&amp;B2690&amp;"_2.mp3","AmE")</f>
        <v/>
      </c>
      <c r="I2690" s="18">
        <f>HYPERLINK("http://dict.youdao.com/w/"&amp;B2690,"有道")</f>
        <v/>
      </c>
    </row>
    <row r="2691">
      <c r="B2691" s="1" t="inlineStr">
        <is>
          <t>springy</t>
        </is>
      </c>
      <c r="C2691" s="7">
        <f>"adj. 有弹力的"</f>
        <v/>
      </c>
      <c r="G2691" s="18">
        <f>HYPERLINK("D:\python\英语学习\voices\"&amp;B2691&amp;"_1.mp3","BrE")</f>
        <v/>
      </c>
      <c r="H2691" s="18">
        <f>HYPERLINK("D:\python\英语学习\voices\"&amp;B2691&amp;"_2.mp3","AmE")</f>
        <v/>
      </c>
      <c r="I2691" s="18">
        <f>HYPERLINK("http://dict.youdao.com/w/"&amp;B2691,"有道")</f>
        <v/>
      </c>
    </row>
    <row customHeight="1" ht="28.5" r="2692">
      <c r="A2692" s="1" t="inlineStr">
        <is>
          <t>unnecessary</t>
        </is>
      </c>
      <c r="B2692" s="1" t="inlineStr">
        <is>
          <t>fathom</t>
        </is>
      </c>
      <c r="C2692" s="7">
        <f>"n. （测量水深的长度单位）英寻"&amp;CHAR(10)&amp;"v. 彻底了解；测量……的深度"</f>
        <v/>
      </c>
      <c r="G2692" s="18">
        <f>HYPERLINK("D:\python\英语学习\voices\"&amp;B2692&amp;"_1.mp3","BrE")</f>
        <v/>
      </c>
      <c r="H2692" s="18">
        <f>HYPERLINK("D:\python\英语学习\voices\"&amp;B2692&amp;"_2.mp3","AmE")</f>
        <v/>
      </c>
      <c r="I2692" s="18">
        <f>HYPERLINK("http://dict.youdao.com/w/"&amp;B2692,"有道")</f>
        <v/>
      </c>
    </row>
    <row customHeight="1" ht="28.5" r="2693">
      <c r="B2693" s="1" t="inlineStr">
        <is>
          <t>subterranean</t>
        </is>
      </c>
      <c r="C2693" s="7">
        <f>"adj. 地下的；秘密的；隐蔽的"&amp;CHAR(10)&amp;"n. 地下工作者"</f>
        <v/>
      </c>
      <c r="G2693" s="18">
        <f>HYPERLINK("D:\python\英语学习\voices\"&amp;B2693&amp;"_1.mp3","BrE")</f>
        <v/>
      </c>
      <c r="H2693" s="18">
        <f>HYPERLINK("D:\python\英语学习\voices\"&amp;B2693&amp;"_2.mp3","AmE")</f>
        <v/>
      </c>
      <c r="I2693" s="18">
        <f>HYPERLINK("http://dict.youdao.com/w/"&amp;B2693,"有道")</f>
        <v/>
      </c>
    </row>
    <row r="2694">
      <c r="B2694" s="1" t="inlineStr">
        <is>
          <t>statuesque</t>
        </is>
      </c>
      <c r="C2694" s="7">
        <f>"adj. 雕像般的；轮廓清晰的；均衡的"</f>
        <v/>
      </c>
      <c r="G2694" s="18">
        <f>HYPERLINK("D:\python\英语学习\voices\"&amp;B2694&amp;"_1.mp3","BrE")</f>
        <v/>
      </c>
      <c r="H2694" s="18">
        <f>HYPERLINK("D:\python\英语学习\voices\"&amp;B2694&amp;"_2.mp3","AmE")</f>
        <v/>
      </c>
      <c r="I2694" s="18">
        <f>HYPERLINK("http://dict.youdao.com/w/"&amp;B2694,"有道")</f>
        <v/>
      </c>
    </row>
    <row r="2695">
      <c r="B2695" s="1" t="inlineStr">
        <is>
          <t>whitish</t>
        </is>
      </c>
      <c r="C2695" s="7">
        <f>"adj. 带白色的；发白的"</f>
        <v/>
      </c>
      <c r="G2695" s="18">
        <f>HYPERLINK("D:\python\英语学习\voices\"&amp;B2695&amp;"_1.mp3","BrE")</f>
        <v/>
      </c>
      <c r="H2695" s="18">
        <f>HYPERLINK("D:\python\英语学习\voices\"&amp;B2695&amp;"_2.mp3","AmE")</f>
        <v/>
      </c>
      <c r="I2695" s="18">
        <f>HYPERLINK("http://dict.youdao.com/w/"&amp;B2695,"有道")</f>
        <v/>
      </c>
    </row>
    <row r="2696">
      <c r="B2696" s="1" t="inlineStr">
        <is>
          <t>zealot</t>
        </is>
      </c>
      <c r="C2696" s="7">
        <f>"n. 狂热者；犹太教狂热信徒"</f>
        <v/>
      </c>
      <c r="G2696" s="18">
        <f>HYPERLINK("D:\python\英语学习\voices\"&amp;B2696&amp;"_1.mp3","BrE")</f>
        <v/>
      </c>
      <c r="H2696" s="18">
        <f>HYPERLINK("D:\python\英语学习\voices\"&amp;B2696&amp;"_2.mp3","AmE")</f>
        <v/>
      </c>
      <c r="I2696" s="18">
        <f>HYPERLINK("http://dict.youdao.com/w/"&amp;B2696,"有道")</f>
        <v/>
      </c>
    </row>
    <row customHeight="1" ht="28.5" r="2697">
      <c r="B2697" s="1" t="inlineStr">
        <is>
          <t>nosing</t>
        </is>
      </c>
      <c r="C2697" s="7">
        <f>"n. 楼梯踏级的前缘；保护梯阶突沿的金属护沿"&amp;CHAR(10)&amp;"v. 嗅到（nose的ing形式）"</f>
        <v/>
      </c>
      <c r="G2697" s="18">
        <f>HYPERLINK("D:\python\英语学习\voices\"&amp;B2697&amp;"_1.mp3","BrE")</f>
        <v/>
      </c>
      <c r="H2697" s="18">
        <f>HYPERLINK("D:\python\英语学习\voices\"&amp;B2697&amp;"_2.mp3","AmE")</f>
        <v/>
      </c>
      <c r="I2697" s="18">
        <f>HYPERLINK("http://dict.youdao.com/w/"&amp;B2697,"有道")</f>
        <v/>
      </c>
    </row>
    <row customHeight="1" ht="42.75" r="2698">
      <c r="A2698" s="1" t="inlineStr">
        <is>
          <t>unnecessary</t>
        </is>
      </c>
      <c r="B2698" s="1" t="inlineStr">
        <is>
          <t>nose</t>
        </is>
      </c>
      <c r="C2698" s="7">
        <f>"n. 鼻子；嗅觉；突出的部分；探问"&amp;CHAR(10)&amp;"vt. 嗅；用鼻子触"&amp;CHAR(10)&amp;"vi. 小心探索着前进；探问"</f>
        <v/>
      </c>
      <c r="E2698" s="6" t="inlineStr">
        <is>
          <t>小心翼翼地向前移动</t>
        </is>
      </c>
      <c r="G2698" s="18">
        <f>HYPERLINK("D:\python\英语学习\voices\"&amp;B2698&amp;"_1.mp3","BrE")</f>
        <v/>
      </c>
      <c r="H2698" s="18">
        <f>HYPERLINK("D:\python\英语学习\voices\"&amp;B2698&amp;"_2.mp3","AmE")</f>
        <v/>
      </c>
      <c r="I2698" s="18">
        <f>HYPERLINK("http://dict.youdao.com/w/"&amp;B2698,"有道")</f>
        <v/>
      </c>
    </row>
    <row customHeight="1" ht="28.5" r="2699">
      <c r="A2699" s="1" t="inlineStr">
        <is>
          <t>practice</t>
        </is>
      </c>
      <c r="B2699" s="1" t="inlineStr">
        <is>
          <t>intended</t>
        </is>
      </c>
      <c r="C2699" s="7">
        <f>"adj. 故意的，有意的；打算中的"&amp;CHAR(10)&amp;"n. 已订婚者"&amp;CHAR(10)&amp;"v. 打算；准备（intend的过去分词）"</f>
        <v/>
      </c>
      <c r="G2699" s="18">
        <f>HYPERLINK("D:\python\英语学习\voices\"&amp;B2699&amp;"_1.mp3","BrE")</f>
        <v/>
      </c>
      <c r="H2699" s="18">
        <f>HYPERLINK("D:\python\英语学习\voices\"&amp;B2699&amp;"_2.mp3","AmE")</f>
        <v/>
      </c>
      <c r="I2699" s="18">
        <f>HYPERLINK("http://dict.youdao.com/w/"&amp;B2699,"有道")</f>
        <v/>
      </c>
    </row>
    <row customHeight="1" ht="42.75" r="2700">
      <c r="B2700" s="1" t="inlineStr">
        <is>
          <t>chiming</t>
        </is>
      </c>
      <c r="C2700" s="7">
        <f>"n. 打钟报时；响声"&amp;CHAR(10)&amp;"v. 和谐地奏出；钟鸣；协调（chime的ing形式）"</f>
        <v/>
      </c>
      <c r="G2700" s="18">
        <f>HYPERLINK("D:\python\英语学习\voices\"&amp;B2700&amp;"_1.mp3","BrE")</f>
        <v/>
      </c>
      <c r="H2700" s="18">
        <f>HYPERLINK("D:\python\英语学习\voices\"&amp;B2700&amp;"_2.mp3","AmE")</f>
        <v/>
      </c>
      <c r="I2700" s="18">
        <f>HYPERLINK("http://dict.youdao.com/w/"&amp;B2700,"有道")</f>
        <v/>
      </c>
    </row>
    <row customHeight="1" ht="57" r="2701">
      <c r="B2701" s="1" t="inlineStr">
        <is>
          <t>chime</t>
        </is>
      </c>
      <c r="C2701" s="7">
        <f>"vi. 鸣响；和谐"&amp;CHAR(10)&amp;"vt. 打钟报时；敲出和谐的声音"&amp;CHAR(10)&amp;"n. 钟声；一套发谐音的钟；和谐"&amp;CHAR(10)&amp;"n. (Chime)人名；(日)千绵(姓)"</f>
        <v/>
      </c>
      <c r="G2701" s="18">
        <f>HYPERLINK("D:\python\英语学习\voices\"&amp;B2701&amp;"_1.mp3","BrE")</f>
        <v/>
      </c>
      <c r="H2701" s="18">
        <f>HYPERLINK("D:\python\英语学习\voices\"&amp;B2701&amp;"_2.mp3","AmE")</f>
        <v/>
      </c>
      <c r="I2701" s="18">
        <f>HYPERLINK("http://dict.youdao.com/w/"&amp;B2701,"有道")</f>
        <v/>
      </c>
    </row>
    <row customHeight="1" ht="28.5" r="2702">
      <c r="B2702" s="1" t="inlineStr">
        <is>
          <t>reduce</t>
        </is>
      </c>
      <c r="C2702" s="7">
        <f>"vt. 减少；降低；使处于；把…分解"&amp;CHAR(10)&amp;"vi. 减少；缩小；归纳为"</f>
        <v/>
      </c>
      <c r="G2702" s="18">
        <f>HYPERLINK("D:\python\英语学习\voices\"&amp;B2702&amp;"_1.mp3","BrE")</f>
        <v/>
      </c>
      <c r="H2702" s="18">
        <f>HYPERLINK("D:\python\英语学习\voices\"&amp;B2702&amp;"_2.mp3","AmE")</f>
        <v/>
      </c>
      <c r="I2702" s="18">
        <f>HYPERLINK("http://dict.youdao.com/w/"&amp;B2702,"有道")</f>
        <v/>
      </c>
    </row>
    <row customHeight="1" ht="99.75" r="2703">
      <c r="B2703" s="1" t="inlineStr">
        <is>
          <t>batter</t>
        </is>
      </c>
      <c r="C2703" s="7">
        <f>"v. 连续猛击；虐待殴打；抨击；（墙）向后倾斜；形成坡度；（风、雨或风暴等的）袭击，打坏"&amp;CHAR(10)&amp;"n. （用鸡蛋、牛奶、面粉等调成的）糊状物；击球手；墙面的倾斜；（印刷）字面磨损处；虐待；狂欢"&amp;CHAR(10)&amp;"n. (Batter) （美、英、加）巴特尔（人名）"</f>
        <v/>
      </c>
      <c r="G2703" s="18">
        <f>HYPERLINK("D:\python\英语学习\voices\"&amp;B2703&amp;"_1.mp3","BrE")</f>
        <v/>
      </c>
      <c r="H2703" s="18">
        <f>HYPERLINK("D:\python\英语学习\voices\"&amp;B2703&amp;"_2.mp3","AmE")</f>
        <v/>
      </c>
      <c r="I2703" s="18">
        <f>HYPERLINK("http://dict.youdao.com/w/"&amp;B2703,"有道")</f>
        <v/>
      </c>
    </row>
    <row customHeight="1" ht="42.75" r="2704">
      <c r="B2704" s="1" t="inlineStr">
        <is>
          <t>quail</t>
        </is>
      </c>
      <c r="C2704" s="7">
        <f>"n. 鹌鹑；北美鹑；鹌鹑肉"&amp;CHAR(10)&amp;"v. 畏缩，胆怯；感到恐惧"&amp;CHAR(10)&amp;"n. (Quail) （美、爱）奎尔（人名）"</f>
        <v/>
      </c>
      <c r="G2704" s="18">
        <f>HYPERLINK("D:\python\英语学习\voices\"&amp;B2704&amp;"_1.mp3","BrE")</f>
        <v/>
      </c>
      <c r="H2704" s="18">
        <f>HYPERLINK("D:\python\英语学习\voices\"&amp;B2704&amp;"_2.mp3","AmE")</f>
        <v/>
      </c>
      <c r="I2704" s="18">
        <f>HYPERLINK("http://dict.youdao.com/w/"&amp;B2704,"有道")</f>
        <v/>
      </c>
    </row>
    <row customHeight="1" ht="42.75" r="2705">
      <c r="B2705" s="1" t="inlineStr">
        <is>
          <t>incendiary</t>
        </is>
      </c>
      <c r="C2705" s="7">
        <f>"adj. 纵火的；煽动性的；能引起燃烧的；非常辣的"&amp;CHAR(10)&amp;"n. 燃烧弹；纵火者；煽动者；易燃物"</f>
        <v/>
      </c>
      <c r="G2705" s="18">
        <f>HYPERLINK("D:\python\英语学习\voices\"&amp;B2705&amp;"_1.mp3","BrE")</f>
        <v/>
      </c>
      <c r="H2705" s="18">
        <f>HYPERLINK("D:\python\英语学习\voices\"&amp;B2705&amp;"_2.mp3","AmE")</f>
        <v/>
      </c>
      <c r="I2705" s="18">
        <f>HYPERLINK("http://dict.youdao.com/w/"&amp;B2705,"有道")</f>
        <v/>
      </c>
    </row>
    <row customHeight="1" ht="28.5" r="2706">
      <c r="A2706" s="1" t="inlineStr">
        <is>
          <t>practice</t>
        </is>
      </c>
      <c r="B2706" s="1" t="inlineStr">
        <is>
          <t>compelling</t>
        </is>
      </c>
      <c r="C2706" s="7">
        <f>"adj. 引人注目的；强制的；激发兴趣的"&amp;CHAR(10)&amp;"v. 强迫；以强力获得（compel的ing形式）"</f>
        <v/>
      </c>
      <c r="G2706" s="18">
        <f>HYPERLINK("D:\python\英语学习\voices\"&amp;B2706&amp;"_1.mp3","BrE")</f>
        <v/>
      </c>
      <c r="H2706" s="18">
        <f>HYPERLINK("D:\python\英语学习\voices\"&amp;B2706&amp;"_2.mp3","AmE")</f>
        <v/>
      </c>
      <c r="I2706" s="18">
        <f>HYPERLINK("http://dict.youdao.com/w/"&amp;B2706,"有道")</f>
        <v/>
      </c>
    </row>
    <row customHeight="1" ht="85.5" r="2707">
      <c r="B2707" s="1" t="inlineStr">
        <is>
          <t>dress</t>
        </is>
      </c>
      <c r="C2707" s="7">
        <f>"n. 连衣裙；（特定种类的）衣服"&amp;CHAR(10)&amp;"v. （给……）穿衣；穿正式服装；为……提供服装；清理包扎（伤口）；装饰；加工，处理（食材、木材等）；使排列整齐’；设计（发型）"&amp;CHAR(10)&amp;"n. (Dress) （美、巴）德雷斯（人名）"</f>
        <v/>
      </c>
      <c r="G2707" s="18">
        <f>HYPERLINK("D:\python\英语学习\voices\"&amp;B2707&amp;"_1.mp3","BrE")</f>
        <v/>
      </c>
      <c r="H2707" s="18">
        <f>HYPERLINK("D:\python\英语学习\voices\"&amp;B2707&amp;"_2.mp3","AmE")</f>
        <v/>
      </c>
      <c r="I2707" s="18">
        <f>HYPERLINK("http://dict.youdao.com/w/"&amp;B2707,"有道")</f>
        <v/>
      </c>
    </row>
    <row r="2708">
      <c r="B2708" s="1" t="inlineStr">
        <is>
          <t>plagiary</t>
        </is>
      </c>
      <c r="C2708" s="7">
        <f>"n. 抄袭者；抄袭作"</f>
        <v/>
      </c>
      <c r="G2708" s="18">
        <f>HYPERLINK("D:\python\英语学习\voices\"&amp;B2708&amp;"_1.mp3","BrE")</f>
        <v/>
      </c>
      <c r="H2708" s="18">
        <f>HYPERLINK("D:\python\英语学习\voices\"&amp;B2708&amp;"_2.mp3","AmE")</f>
        <v/>
      </c>
      <c r="I2708" s="18">
        <f>HYPERLINK("http://dict.youdao.com/w/"&amp;B2708,"有道")</f>
        <v/>
      </c>
    </row>
    <row r="2709">
      <c r="B2709" s="1" t="inlineStr">
        <is>
          <t>conspiracy</t>
        </is>
      </c>
      <c r="C2709" s="7">
        <f>"n. 阴谋；共谋；阴谋集团"</f>
        <v/>
      </c>
      <c r="G2709" s="18">
        <f>HYPERLINK("D:\python\英语学习\voices\"&amp;B2709&amp;"_1.mp3","BrE")</f>
        <v/>
      </c>
      <c r="H2709" s="18">
        <f>HYPERLINK("D:\python\英语学习\voices\"&amp;B2709&amp;"_2.mp3","AmE")</f>
        <v/>
      </c>
      <c r="I2709" s="18">
        <f>HYPERLINK("http://dict.youdao.com/w/"&amp;B2709,"有道")</f>
        <v/>
      </c>
    </row>
    <row r="2710">
      <c r="B2710" s="1" t="inlineStr">
        <is>
          <t>conspirator</t>
        </is>
      </c>
      <c r="C2710" s="7">
        <f>"n. 阴谋者；反叛者；同谋者"</f>
        <v/>
      </c>
      <c r="G2710" s="18">
        <f>HYPERLINK("D:\python\英语学习\voices\"&amp;B2710&amp;"_1.mp3","BrE")</f>
        <v/>
      </c>
      <c r="H2710" s="18">
        <f>HYPERLINK("D:\python\英语学习\voices\"&amp;B2710&amp;"_2.mp3","AmE")</f>
        <v/>
      </c>
      <c r="I2710" s="18">
        <f>HYPERLINK("http://dict.youdao.com/w/"&amp;B2710,"有道")</f>
        <v/>
      </c>
    </row>
    <row r="2711">
      <c r="B2711" s="1" t="inlineStr">
        <is>
          <t>chimpanzee</t>
        </is>
      </c>
      <c r="C2711" s="7">
        <f>"n. [脊椎] 黑猩猩"</f>
        <v/>
      </c>
      <c r="G2711" s="18">
        <f>HYPERLINK("D:\python\英语学习\voices\"&amp;B2711&amp;"_1.mp3","BrE")</f>
        <v/>
      </c>
      <c r="H2711" s="18">
        <f>HYPERLINK("D:\python\英语学习\voices\"&amp;B2711&amp;"_2.mp3","AmE")</f>
        <v/>
      </c>
      <c r="I2711" s="18">
        <f>HYPERLINK("http://dict.youdao.com/w/"&amp;B2711,"有道")</f>
        <v/>
      </c>
    </row>
    <row customHeight="1" ht="28.5" r="2712">
      <c r="B2712" s="1" t="inlineStr">
        <is>
          <t>serendipity</t>
        </is>
      </c>
      <c r="C2712" s="7">
        <f>"n. 意外发现珍奇事物的本领；有意外发现珍宝的运气"</f>
        <v/>
      </c>
      <c r="F2712" s="14">
        <f>"Happily, as is often the case with such forays into terra quasi-incognita, the serendipity factor comes into play.
可喜的是，像冒险进入类似未知领域最常见的情况一样，机缘凑巧开始起作用"</f>
        <v/>
      </c>
      <c r="G2712" s="18">
        <f>HYPERLINK("D:\python\英语学习\voices\"&amp;B2712&amp;"_1.mp3","BrE")</f>
        <v/>
      </c>
      <c r="H2712" s="18">
        <f>HYPERLINK("D:\python\英语学习\voices\"&amp;B2712&amp;"_2.mp3","AmE")</f>
        <v/>
      </c>
      <c r="I2712" s="18">
        <f>HYPERLINK("http://dict.youdao.com/w/"&amp;B2712,"有道")</f>
        <v/>
      </c>
    </row>
    <row r="2713">
      <c r="B2713" s="1" t="inlineStr">
        <is>
          <t>nepotism</t>
        </is>
      </c>
      <c r="C2713" s="7">
        <f>"n. 裙带关系；起用亲戚"</f>
        <v/>
      </c>
      <c r="G2713" s="18">
        <f>HYPERLINK("D:\python\英语学习\voices\"&amp;B2713&amp;"_1.mp3","BrE")</f>
        <v/>
      </c>
      <c r="H2713" s="18">
        <f>HYPERLINK("D:\python\英语学习\voices\"&amp;B2713&amp;"_2.mp3","AmE")</f>
        <v/>
      </c>
      <c r="I2713" s="18">
        <f>HYPERLINK("http://dict.youdao.com/w/"&amp;B2713,"有道")</f>
        <v/>
      </c>
    </row>
    <row r="2714">
      <c r="B2714" s="1" t="inlineStr">
        <is>
          <t>reluctant</t>
        </is>
      </c>
      <c r="C2714" s="7">
        <f>"adj. 不情愿的；勉强的；顽抗的"</f>
        <v/>
      </c>
      <c r="G2714" s="18">
        <f>HYPERLINK("D:\python\英语学习\voices\"&amp;B2714&amp;"_1.mp3","BrE")</f>
        <v/>
      </c>
      <c r="H2714" s="18">
        <f>HYPERLINK("D:\python\英语学习\voices\"&amp;B2714&amp;"_2.mp3","AmE")</f>
        <v/>
      </c>
      <c r="I2714" s="18">
        <f>HYPERLINK("http://dict.youdao.com/w/"&amp;B2714,"有道")</f>
        <v/>
      </c>
    </row>
    <row customHeight="1" ht="28.5" r="2715">
      <c r="B2715" s="1" t="inlineStr">
        <is>
          <t>iconic</t>
        </is>
      </c>
      <c r="C2715" s="7">
        <f>"adj. 偶像的，图符的；与图像有关的，图像性的；以传统风格刻画得胜运动员的"</f>
        <v/>
      </c>
      <c r="G2715" s="18">
        <f>HYPERLINK("D:\python\英语学习\voices\"&amp;B2715&amp;"_1.mp3","BrE")</f>
        <v/>
      </c>
      <c r="H2715" s="18">
        <f>HYPERLINK("D:\python\英语学习\voices\"&amp;B2715&amp;"_2.mp3","AmE")</f>
        <v/>
      </c>
      <c r="I2715" s="18">
        <f>HYPERLINK("http://dict.youdao.com/w/"&amp;B2715,"有道")</f>
        <v/>
      </c>
    </row>
    <row r="2716">
      <c r="B2716" s="1" t="inlineStr">
        <is>
          <t>iconoclast</t>
        </is>
      </c>
      <c r="C2716" s="7">
        <f>"n. 偶像破坏者；提倡打破旧习的人"</f>
        <v/>
      </c>
      <c r="G2716" s="18">
        <f>HYPERLINK("D:\python\英语学习\voices\"&amp;B2716&amp;"_1.mp3","BrE")</f>
        <v/>
      </c>
      <c r="H2716" s="18">
        <f>HYPERLINK("D:\python\英语学习\voices\"&amp;B2716&amp;"_2.mp3","AmE")</f>
        <v/>
      </c>
      <c r="I2716" s="18">
        <f>HYPERLINK("http://dict.youdao.com/w/"&amp;B2716,"有道")</f>
        <v/>
      </c>
    </row>
    <row r="2717">
      <c r="B2717" s="1" t="inlineStr">
        <is>
          <t>iconoclastic</t>
        </is>
      </c>
      <c r="C2717" s="7">
        <f>"adj. 打破旧习的；偶像破坏的"</f>
        <v/>
      </c>
      <c r="G2717" s="18">
        <f>HYPERLINK("D:\python\英语学习\voices\"&amp;B2717&amp;"_1.mp3","BrE")</f>
        <v/>
      </c>
      <c r="H2717" s="18">
        <f>HYPERLINK("D:\python\英语学习\voices\"&amp;B2717&amp;"_2.mp3","AmE")</f>
        <v/>
      </c>
      <c r="I2717" s="18">
        <f>HYPERLINK("http://dict.youdao.com/w/"&amp;B2717,"有道")</f>
        <v/>
      </c>
    </row>
    <row customHeight="1" ht="28.5" r="2718">
      <c r="B2718" s="1" t="inlineStr">
        <is>
          <t>aplenty</t>
        </is>
      </c>
      <c r="C2718" s="7">
        <f>"adj. 丰富的；大量的，充裕的"&amp;CHAR(10)&amp;"adv. 丰富地；大量地，充裕地"</f>
        <v/>
      </c>
      <c r="G2718" s="18">
        <f>HYPERLINK("D:\python\英语学习\voices\"&amp;B2718&amp;"_1.mp3","BrE")</f>
        <v/>
      </c>
      <c r="H2718" s="18">
        <f>HYPERLINK("D:\python\英语学习\voices\"&amp;B2718&amp;"_2.mp3","AmE")</f>
        <v/>
      </c>
      <c r="I2718" s="18">
        <f>HYPERLINK("http://dict.youdao.com/w/"&amp;B2718,"有道")</f>
        <v/>
      </c>
    </row>
    <row r="2719">
      <c r="A2719" s="1" t="inlineStr">
        <is>
          <t>unnecessary</t>
        </is>
      </c>
      <c r="B2719" s="1" t="inlineStr">
        <is>
          <t>truffle</t>
        </is>
      </c>
      <c r="C2719" s="7">
        <f>"n. [植] 松露；块菌；松露巧克力糖"</f>
        <v/>
      </c>
      <c r="G2719" s="18">
        <f>HYPERLINK("D:\python\英语学习\voices\"&amp;B2719&amp;"_1.mp3","BrE")</f>
        <v/>
      </c>
      <c r="H2719" s="18">
        <f>HYPERLINK("D:\python\英语学习\voices\"&amp;B2719&amp;"_2.mp3","AmE")</f>
        <v/>
      </c>
      <c r="I2719" s="18">
        <f>HYPERLINK("http://dict.youdao.com/w/"&amp;B2719,"有道")</f>
        <v/>
      </c>
    </row>
    <row r="2720">
      <c r="A2720" s="1" t="inlineStr">
        <is>
          <t>unnecessary</t>
        </is>
      </c>
      <c r="B2720" s="1" t="inlineStr">
        <is>
          <t>pancetta</t>
        </is>
      </c>
      <c r="C2720" s="7">
        <f>"n. 意大利烟肉"</f>
        <v/>
      </c>
      <c r="G2720" s="18">
        <f>HYPERLINK("D:\python\英语学习\voices\"&amp;B2720&amp;"_1.mp3","BrE")</f>
        <v/>
      </c>
      <c r="H2720" s="18">
        <f>HYPERLINK("D:\python\英语学习\voices\"&amp;B2720&amp;"_2.mp3","AmE")</f>
        <v/>
      </c>
      <c r="I2720" s="18">
        <f>HYPERLINK("http://dict.youdao.com/w/"&amp;B2720,"有道")</f>
        <v/>
      </c>
    </row>
    <row r="2721">
      <c r="B2721" s="1" t="inlineStr">
        <is>
          <t>abusive</t>
        </is>
      </c>
      <c r="C2721" s="7">
        <f>"adj. 辱骂的；滥用的；虐待的"</f>
        <v/>
      </c>
      <c r="G2721" s="18">
        <f>HYPERLINK("D:\python\英语学习\voices\"&amp;B2721&amp;"_1.mp3","BrE")</f>
        <v/>
      </c>
      <c r="H2721" s="18">
        <f>HYPERLINK("D:\python\英语学习\voices\"&amp;B2721&amp;"_2.mp3","AmE")</f>
        <v/>
      </c>
      <c r="I2721" s="18">
        <f>HYPERLINK("http://dict.youdao.com/w/"&amp;B2721,"有道")</f>
        <v/>
      </c>
    </row>
    <row r="2722">
      <c r="B2722" s="1" t="inlineStr">
        <is>
          <t>facility</t>
        </is>
      </c>
      <c r="C2722" s="7">
        <f>"n. 设施；设备；容易；灵巧；才能，天赋"</f>
        <v/>
      </c>
      <c r="E2722" s="6" t="inlineStr">
        <is>
          <t>好多意思-还有才能天赋的意思</t>
        </is>
      </c>
      <c r="G2722" s="18">
        <f>HYPERLINK("D:\python\英语学习\voices\"&amp;B2722&amp;"_1.mp3","BrE")</f>
        <v/>
      </c>
      <c r="H2722" s="18">
        <f>HYPERLINK("D:\python\英语学习\voices\"&amp;B2722&amp;"_2.mp3","AmE")</f>
        <v/>
      </c>
      <c r="I2722" s="18">
        <f>HYPERLINK("http://dict.youdao.com/w/"&amp;B2722,"有道")</f>
        <v/>
      </c>
    </row>
    <row r="2723">
      <c r="B2723" s="1" t="inlineStr">
        <is>
          <t>predation</t>
        </is>
      </c>
      <c r="C2723" s="7">
        <f>"n. 捕食；掠夺"</f>
        <v/>
      </c>
      <c r="G2723" s="18">
        <f>HYPERLINK("D:\python\英语学习\voices\"&amp;B2723&amp;"_1.mp3","BrE")</f>
        <v/>
      </c>
      <c r="H2723" s="18">
        <f>HYPERLINK("D:\python\英语学习\voices\"&amp;B2723&amp;"_2.mp3","AmE")</f>
        <v/>
      </c>
      <c r="I2723" s="18">
        <f>HYPERLINK("http://dict.youdao.com/w/"&amp;B2723,"有道")</f>
        <v/>
      </c>
    </row>
    <row r="2724">
      <c r="A2724" s="1" t="inlineStr">
        <is>
          <t>unnecessary</t>
        </is>
      </c>
      <c r="B2724" s="1" t="inlineStr">
        <is>
          <t>ammonia</t>
        </is>
      </c>
      <c r="C2724" s="7">
        <f>"n. [无化] 氨，阿摩尼亚"</f>
        <v/>
      </c>
      <c r="G2724" s="18">
        <f>HYPERLINK("D:\python\英语学习\voices\"&amp;B2724&amp;"_1.mp3","BrE")</f>
        <v/>
      </c>
      <c r="H2724" s="18">
        <f>HYPERLINK("D:\python\英语学习\voices\"&amp;B2724&amp;"_2.mp3","AmE")</f>
        <v/>
      </c>
      <c r="I2724" s="18">
        <f>HYPERLINK("http://dict.youdao.com/w/"&amp;B2724,"有道")</f>
        <v/>
      </c>
    </row>
    <row customHeight="1" ht="29.1" r="2725">
      <c r="B2725" s="1" t="inlineStr">
        <is>
          <t>notoriously</t>
        </is>
      </c>
      <c r="C2725" s="7">
        <f>"adv. 众所周知地；声名狼藉地；恶名昭彰地"</f>
        <v/>
      </c>
      <c r="G2725" s="18">
        <f>HYPERLINK("D:\python\英语学习\voices\"&amp;B2725&amp;"_1.mp3","BrE")</f>
        <v/>
      </c>
      <c r="H2725" s="18">
        <f>HYPERLINK("D:\python\英语学习\voices\"&amp;B2725&amp;"_2.mp3","AmE")</f>
        <v/>
      </c>
      <c r="I2725" s="18">
        <f>HYPERLINK("http://dict.youdao.com/w/"&amp;B2725,"有道")</f>
        <v/>
      </c>
    </row>
    <row customHeight="1" ht="28.5" r="2726">
      <c r="B2726" s="1" t="inlineStr">
        <is>
          <t>reliable</t>
        </is>
      </c>
      <c r="C2726" s="7">
        <f>"adj. 可靠的；可信赖的"&amp;CHAR(10)&amp;"n. 可靠的人"</f>
        <v/>
      </c>
      <c r="G2726" s="18">
        <f>HYPERLINK("D:\python\英语学习\voices\"&amp;B2726&amp;"_1.mp3","BrE")</f>
        <v/>
      </c>
      <c r="H2726" s="18">
        <f>HYPERLINK("D:\python\英语学习\voices\"&amp;B2726&amp;"_2.mp3","AmE")</f>
        <v/>
      </c>
      <c r="I2726" s="18">
        <f>HYPERLINK("http://dict.youdao.com/w/"&amp;B2726,"有道")</f>
        <v/>
      </c>
    </row>
    <row customHeight="1" ht="42.75" r="2727">
      <c r="B2727" s="1" t="inlineStr">
        <is>
          <t>wimp</t>
        </is>
      </c>
      <c r="C2727" s="7">
        <f>"n. 懦弱的人，无能的人；瘦弱的男人"&amp;CHAR(10)&amp;"v. 畏缩；退缩"&amp;CHAR(10)&amp;"n. (Wimp) （美、英、俄）威姆鄱（人名）"</f>
        <v/>
      </c>
      <c r="G2727" s="18">
        <f>HYPERLINK("D:\python\英语学习\voices\"&amp;B2727&amp;"_1.mp3","BrE")</f>
        <v/>
      </c>
      <c r="H2727" s="18">
        <f>HYPERLINK("D:\python\英语学习\voices\"&amp;B2727&amp;"_2.mp3","AmE")</f>
        <v/>
      </c>
      <c r="I2727" s="18">
        <f>HYPERLINK("http://dict.youdao.com/w/"&amp;B2727,"有道")</f>
        <v/>
      </c>
    </row>
    <row r="2728">
      <c r="A2728" s="1" t="inlineStr">
        <is>
          <t>unnecessary</t>
        </is>
      </c>
      <c r="B2728" s="1" t="inlineStr">
        <is>
          <t>algae</t>
        </is>
      </c>
      <c r="C2728" s="7">
        <f>"n. [植] 藻类；[植] 海藻"</f>
        <v/>
      </c>
      <c r="G2728" s="18">
        <f>HYPERLINK("D:\python\英语学习\voices\"&amp;B2728&amp;"_1.mp3","BrE")</f>
        <v/>
      </c>
      <c r="H2728" s="18">
        <f>HYPERLINK("D:\python\英语学习\voices\"&amp;B2728&amp;"_2.mp3","AmE")</f>
        <v/>
      </c>
      <c r="I2728" s="18">
        <f>HYPERLINK("http://dict.youdao.com/w/"&amp;B2728,"有道")</f>
        <v/>
      </c>
    </row>
    <row customHeight="1" ht="42.75" r="2729">
      <c r="A2729" s="1" t="inlineStr">
        <is>
          <t>unnecessary</t>
        </is>
      </c>
      <c r="B2729" s="1" t="inlineStr">
        <is>
          <t>caustic</t>
        </is>
      </c>
      <c r="C2729" s="7">
        <f>"adj. [化学] 腐蚀性的；[化学] 苛性的；刻薄的；焦散的"&amp;CHAR(10)&amp;"n. [助剂] 腐蚀剂；苛性钠；焦散曲线"</f>
        <v/>
      </c>
      <c r="G2729" s="18">
        <f>HYPERLINK("D:\python\英语学习\voices\"&amp;B2729&amp;"_1.mp3","BrE")</f>
        <v/>
      </c>
      <c r="H2729" s="18">
        <f>HYPERLINK("D:\python\英语学习\voices\"&amp;B2729&amp;"_2.mp3","AmE")</f>
        <v/>
      </c>
      <c r="I2729" s="18">
        <f>HYPERLINK("http://dict.youdao.com/w/"&amp;B2729,"有道")</f>
        <v/>
      </c>
    </row>
    <row customHeight="1" ht="28.5" r="2730">
      <c r="A2730" s="1" t="inlineStr">
        <is>
          <t>unnecessary</t>
        </is>
      </c>
      <c r="B2730" s="1" t="inlineStr">
        <is>
          <t>gibbon</t>
        </is>
      </c>
      <c r="C2730" s="7">
        <f>"n. [脊椎] 长臂猿"&amp;CHAR(10)&amp;"n. (Gibbon)人名；(英、葡、匈、塞、巴基)吉本"</f>
        <v/>
      </c>
      <c r="G2730" s="18">
        <f>HYPERLINK("D:\python\英语学习\voices\"&amp;B2730&amp;"_1.mp3","BrE")</f>
        <v/>
      </c>
      <c r="H2730" s="18">
        <f>HYPERLINK("D:\python\英语学习\voices\"&amp;B2730&amp;"_2.mp3","AmE")</f>
        <v/>
      </c>
      <c r="I2730" s="18">
        <f>HYPERLINK("http://dict.youdao.com/w/"&amp;B2730,"有道")</f>
        <v/>
      </c>
    </row>
    <row customHeight="1" ht="29.1" r="2731">
      <c r="B2731" s="1" t="inlineStr">
        <is>
          <t>demolition</t>
        </is>
      </c>
      <c r="C2731" s="7">
        <f>"n. 拆除（等于demolishment）；破坏；毁坏"</f>
        <v/>
      </c>
      <c r="G2731" s="18">
        <f>HYPERLINK("D:\python\英语学习\voices\"&amp;B2731&amp;"_1.mp3","BrE")</f>
        <v/>
      </c>
      <c r="H2731" s="18">
        <f>HYPERLINK("D:\python\英语学习\voices\"&amp;B2731&amp;"_2.mp3","AmE")</f>
        <v/>
      </c>
      <c r="I2731" s="18">
        <f>HYPERLINK("http://dict.youdao.com/w/"&amp;B2731,"有道")</f>
        <v/>
      </c>
    </row>
    <row r="2732">
      <c r="A2732" s="1" t="inlineStr">
        <is>
          <t>unnecessary</t>
        </is>
      </c>
      <c r="B2732" s="1" t="inlineStr">
        <is>
          <t>diode</t>
        </is>
      </c>
      <c r="C2732" s="7">
        <f>"n. [电子] 二极管"</f>
        <v/>
      </c>
      <c r="G2732" s="18">
        <f>HYPERLINK("D:\python\英语学习\voices\"&amp;B2732&amp;"_1.mp3","BrE")</f>
        <v/>
      </c>
      <c r="H2732" s="18">
        <f>HYPERLINK("D:\python\英语学习\voices\"&amp;B2732&amp;"_2.mp3","AmE")</f>
        <v/>
      </c>
      <c r="I2732" s="18">
        <f>HYPERLINK("http://dict.youdao.com/w/"&amp;B2732,"有道")</f>
        <v/>
      </c>
    </row>
    <row r="2733">
      <c r="A2733" s="1" t="inlineStr">
        <is>
          <t>practice</t>
        </is>
      </c>
      <c r="B2733" s="1" t="inlineStr">
        <is>
          <t>notorious</t>
        </is>
      </c>
      <c r="C2733" s="7">
        <f>"adj. 声名狼藉的，臭名昭著的"</f>
        <v/>
      </c>
      <c r="G2733" s="18">
        <f>HYPERLINK("D:\python\英语学习\voices\"&amp;B2733&amp;"_1.mp3","BrE")</f>
        <v/>
      </c>
      <c r="H2733" s="18">
        <f>HYPERLINK("D:\python\英语学习\voices\"&amp;B2733&amp;"_2.mp3","AmE")</f>
        <v/>
      </c>
      <c r="I2733" s="18">
        <f>HYPERLINK("http://dict.youdao.com/w/"&amp;B2733,"有道")</f>
        <v/>
      </c>
    </row>
    <row customHeight="1" ht="42.75" r="2734">
      <c r="A2734" s="1" t="inlineStr">
        <is>
          <t>unnecessary</t>
        </is>
      </c>
      <c r="B2734" s="1" t="inlineStr">
        <is>
          <t>duvet</t>
        </is>
      </c>
      <c r="C2734" s="7">
        <f>"n. 羽绒被（等于continental quilt）；羽绒衫（等于duvet jacket）；绒毛状生长物"&amp;CHAR(10)&amp;"n. (Duvet)人名；(法)迪韦"</f>
        <v/>
      </c>
      <c r="G2734" s="18">
        <f>HYPERLINK("D:\python\英语学习\voices\"&amp;B2734&amp;"_1.mp3","BrE")</f>
        <v/>
      </c>
      <c r="H2734" s="18">
        <f>HYPERLINK("D:\python\英语学习\voices\"&amp;B2734&amp;"_2.mp3","AmE")</f>
        <v/>
      </c>
      <c r="I2734" s="18">
        <f>HYPERLINK("http://dict.youdao.com/w/"&amp;B2734,"有道")</f>
        <v/>
      </c>
    </row>
    <row customHeight="1" ht="28.5" r="2735">
      <c r="B2735" s="1" t="inlineStr">
        <is>
          <t>sterilize</t>
        </is>
      </c>
      <c r="C2735" s="7">
        <f>"vt. 消毒，杀菌；使成不毛；使绝育；使不起作用"</f>
        <v/>
      </c>
      <c r="G2735" s="18">
        <f>HYPERLINK("D:\python\英语学习\voices\"&amp;B2735&amp;"_1.mp3","BrE")</f>
        <v/>
      </c>
      <c r="H2735" s="18">
        <f>HYPERLINK("D:\python\英语学习\voices\"&amp;B2735&amp;"_2.mp3","AmE")</f>
        <v/>
      </c>
      <c r="I2735" s="18">
        <f>HYPERLINK("http://dict.youdao.com/w/"&amp;B2735,"有道")</f>
        <v/>
      </c>
    </row>
    <row customHeight="1" ht="42.75" r="2736">
      <c r="B2736" s="1" t="inlineStr">
        <is>
          <t>platinum</t>
        </is>
      </c>
      <c r="C2736" s="7">
        <f>"n. [化学] 铂；白金；唱片集达100万张的销售量；银灰色"&amp;CHAR(10)&amp;"adj. 唱片集已售出100万张的"</f>
        <v/>
      </c>
      <c r="G2736" s="18">
        <f>HYPERLINK("D:\python\英语学习\voices\"&amp;B2736&amp;"_1.mp3","BrE")</f>
        <v/>
      </c>
      <c r="H2736" s="18">
        <f>HYPERLINK("D:\python\英语学习\voices\"&amp;B2736&amp;"_2.mp3","AmE")</f>
        <v/>
      </c>
      <c r="I2736" s="18">
        <f>HYPERLINK("http://dict.youdao.com/w/"&amp;B2736,"有道")</f>
        <v/>
      </c>
    </row>
    <row customHeight="1" ht="28.5" r="2737">
      <c r="B2737" s="1" t="inlineStr">
        <is>
          <t>beleaguered</t>
        </is>
      </c>
      <c r="C2737" s="7">
        <f>"adj. 围困的；包围的"&amp;CHAR(10)&amp;"v. 围攻（beleaguer的过去式和过去分词）"</f>
        <v/>
      </c>
      <c r="G2737" s="18">
        <f>HYPERLINK("D:\python\英语学习\voices\"&amp;B2737&amp;"_1.mp3","BrE")</f>
        <v/>
      </c>
      <c r="H2737" s="18">
        <f>HYPERLINK("D:\python\英语学习\voices\"&amp;B2737&amp;"_2.mp3","AmE")</f>
        <v/>
      </c>
      <c r="I2737" s="18">
        <f>HYPERLINK("http://dict.youdao.com/w/"&amp;B2737,"有道")</f>
        <v/>
      </c>
    </row>
    <row r="2738">
      <c r="B2738" s="1" t="inlineStr">
        <is>
          <t>omnipresent</t>
        </is>
      </c>
      <c r="C2738" s="7">
        <f>"adj. 无所不在的"</f>
        <v/>
      </c>
      <c r="G2738" s="18">
        <f>HYPERLINK("D:\python\英语学习\voices\"&amp;B2738&amp;"_1.mp3","BrE")</f>
        <v/>
      </c>
      <c r="H2738" s="18">
        <f>HYPERLINK("D:\python\英语学习\voices\"&amp;B2738&amp;"_2.mp3","AmE")</f>
        <v/>
      </c>
      <c r="I2738" s="18">
        <f>HYPERLINK("http://dict.youdao.com/w/"&amp;B2738,"有道")</f>
        <v/>
      </c>
    </row>
    <row customHeight="1" ht="28.5" r="2739">
      <c r="B2739" s="1" t="inlineStr">
        <is>
          <t>omnibus</t>
        </is>
      </c>
      <c r="C2739" s="7">
        <f>"n. 公共汽车；精选集；文集"&amp;CHAR(10)&amp;"adj. 综合性的；总括的；（包括）多项的"</f>
        <v/>
      </c>
      <c r="G2739" s="18">
        <f>HYPERLINK("D:\python\英语学习\voices\"&amp;B2739&amp;"_1.mp3","BrE")</f>
        <v/>
      </c>
      <c r="H2739" s="18">
        <f>HYPERLINK("D:\python\英语学习\voices\"&amp;B2739&amp;"_2.mp3","AmE")</f>
        <v/>
      </c>
      <c r="I2739" s="18">
        <f>HYPERLINK("http://dict.youdao.com/w/"&amp;B2739,"有道")</f>
        <v/>
      </c>
    </row>
    <row customHeight="1" ht="28.5" r="2740">
      <c r="B2740" s="1" t="inlineStr">
        <is>
          <t>omniscient</t>
        </is>
      </c>
      <c r="C2740" s="7">
        <f>"adj. 全知的；无所不知的"&amp;CHAR(10)&amp;"n. 上帝；无所不知者"</f>
        <v/>
      </c>
      <c r="G2740" s="18">
        <f>HYPERLINK("D:\python\英语学习\voices\"&amp;B2740&amp;"_1.mp3","BrE")</f>
        <v/>
      </c>
      <c r="H2740" s="18">
        <f>HYPERLINK("D:\python\英语学习\voices\"&amp;B2740&amp;"_2.mp3","AmE")</f>
        <v/>
      </c>
      <c r="I2740" s="18">
        <f>HYPERLINK("http://dict.youdao.com/w/"&amp;B2740,"有道")</f>
        <v/>
      </c>
    </row>
    <row r="2741">
      <c r="B2741" s="1" t="inlineStr">
        <is>
          <t>omnipotent</t>
        </is>
      </c>
      <c r="C2741" s="7">
        <f>"adj. 无所不能的；全能的；有无限权力的"</f>
        <v/>
      </c>
      <c r="G2741" s="18">
        <f>HYPERLINK("D:\python\英语学习\voices\"&amp;B2741&amp;"_1.mp3","BrE")</f>
        <v/>
      </c>
      <c r="H2741" s="18">
        <f>HYPERLINK("D:\python\英语学习\voices\"&amp;B2741&amp;"_2.mp3","AmE")</f>
        <v/>
      </c>
      <c r="I2741" s="18">
        <f>HYPERLINK("http://dict.youdao.com/w/"&amp;B2741,"有道")</f>
        <v/>
      </c>
    </row>
    <row r="2742">
      <c r="A2742" s="1" t="inlineStr">
        <is>
          <t>unnecessary</t>
        </is>
      </c>
      <c r="B2742" s="1" t="inlineStr">
        <is>
          <t>omnivore</t>
        </is>
      </c>
      <c r="C2742" s="7">
        <f>"n. [动] 杂食动物；不偏食的人"</f>
        <v/>
      </c>
      <c r="G2742" s="18">
        <f>HYPERLINK("D:\python\英语学习\voices\"&amp;B2742&amp;"_1.mp3","BrE")</f>
        <v/>
      </c>
      <c r="H2742" s="18">
        <f>HYPERLINK("D:\python\英语学习\voices\"&amp;B2742&amp;"_2.mp3","AmE")</f>
        <v/>
      </c>
      <c r="I2742" s="18">
        <f>HYPERLINK("http://dict.youdao.com/w/"&amp;B2742,"有道")</f>
        <v/>
      </c>
    </row>
    <row r="2743">
      <c r="A2743" s="1" t="inlineStr">
        <is>
          <t>unnecessary</t>
        </is>
      </c>
      <c r="B2743" s="1" t="inlineStr">
        <is>
          <t>omnivorous</t>
        </is>
      </c>
      <c r="C2743" s="7">
        <f>"adj. 杂食的；什么都读的；无所不吃的"</f>
        <v/>
      </c>
      <c r="G2743" s="18">
        <f>HYPERLINK("D:\python\英语学习\voices\"&amp;B2743&amp;"_1.mp3","BrE")</f>
        <v/>
      </c>
      <c r="H2743" s="18">
        <f>HYPERLINK("D:\python\英语学习\voices\"&amp;B2743&amp;"_2.mp3","AmE")</f>
        <v/>
      </c>
      <c r="I2743" s="18">
        <f>HYPERLINK("http://dict.youdao.com/w/"&amp;B2743,"有道")</f>
        <v/>
      </c>
    </row>
    <row r="2744">
      <c r="B2744" s="1" t="inlineStr">
        <is>
          <t>omnipotence</t>
        </is>
      </c>
      <c r="C2744" s="7">
        <f>"n. 全能；无限力量"</f>
        <v/>
      </c>
      <c r="G2744" s="18">
        <f>HYPERLINK("D:\python\英语学习\voices\"&amp;B2744&amp;"_1.mp3","BrE")</f>
        <v/>
      </c>
      <c r="H2744" s="18">
        <f>HYPERLINK("D:\python\英语学习\voices\"&amp;B2744&amp;"_2.mp3","AmE")</f>
        <v/>
      </c>
      <c r="I2744" s="18">
        <f>HYPERLINK("http://dict.youdao.com/w/"&amp;B2744,"有道")</f>
        <v/>
      </c>
    </row>
    <row r="2745">
      <c r="B2745" s="1" t="inlineStr">
        <is>
          <t>omniscience</t>
        </is>
      </c>
      <c r="C2745" s="7">
        <f>"n. 全知；上帝；全知者；无限的知识"</f>
        <v/>
      </c>
      <c r="G2745" s="18">
        <f>HYPERLINK("D:\python\英语学习\voices\"&amp;B2745&amp;"_1.mp3","BrE")</f>
        <v/>
      </c>
      <c r="H2745" s="18">
        <f>HYPERLINK("D:\python\英语学习\voices\"&amp;B2745&amp;"_2.mp3","AmE")</f>
        <v/>
      </c>
      <c r="I2745" s="18">
        <f>HYPERLINK("http://dict.youdao.com/w/"&amp;B2745,"有道")</f>
        <v/>
      </c>
    </row>
    <row r="2746">
      <c r="A2746" s="1" t="inlineStr">
        <is>
          <t>unnecessary</t>
        </is>
      </c>
      <c r="B2746" s="1" t="inlineStr">
        <is>
          <t>omnipresence</t>
        </is>
      </c>
      <c r="C2746" s="7">
        <f>"n. 遍在"</f>
        <v/>
      </c>
      <c r="G2746" s="18">
        <f>HYPERLINK("D:\python\英语学习\voices\"&amp;B2746&amp;"_1.mp3","BrE")</f>
        <v/>
      </c>
      <c r="H2746" s="18">
        <f>HYPERLINK("D:\python\英语学习\voices\"&amp;B2746&amp;"_2.mp3","AmE")</f>
        <v/>
      </c>
      <c r="I2746" s="18">
        <f>HYPERLINK("http://dict.youdao.com/w/"&amp;B2746,"有道")</f>
        <v/>
      </c>
    </row>
    <row r="2747">
      <c r="B2747" s="1" t="inlineStr">
        <is>
          <t>omnidirectional</t>
        </is>
      </c>
      <c r="C2747" s="7">
        <f>"adj. 全方向的"</f>
        <v/>
      </c>
      <c r="G2747" s="18">
        <f>HYPERLINK("D:\python\英语学习\voices\"&amp;B2747&amp;"_1.mp3","BrE")</f>
        <v/>
      </c>
      <c r="H2747" s="18">
        <f>HYPERLINK("D:\python\英语学习\voices\"&amp;B2747&amp;"_2.mp3","AmE")</f>
        <v/>
      </c>
      <c r="I2747" s="18">
        <f>HYPERLINK("http://dict.youdao.com/w/"&amp;B2747,"有道")</f>
        <v/>
      </c>
    </row>
    <row r="2748">
      <c r="B2748" s="1" t="inlineStr">
        <is>
          <t>omnisex</t>
        </is>
      </c>
      <c r="C2748" s="7">
        <f>"全性的，包括男性与女性的"</f>
        <v/>
      </c>
      <c r="G2748" s="18">
        <f>HYPERLINK("D:\python\英语学习\voices\"&amp;B2748&amp;"_1.mp3","BrE")</f>
        <v/>
      </c>
      <c r="H2748" s="18">
        <f>HYPERLINK("D:\python\英语学习\voices\"&amp;B2748&amp;"_2.mp3","AmE")</f>
        <v/>
      </c>
      <c r="I2748" s="18">
        <f>HYPERLINK("http://dict.youdao.com/w/"&amp;B2748,"有道")</f>
        <v/>
      </c>
    </row>
    <row customHeight="1" ht="29.1" r="2749">
      <c r="B2749" s="1" t="inlineStr">
        <is>
          <t>nymphet</t>
        </is>
      </c>
      <c r="C2749" s="7">
        <f>"n. 早熟的少女；放荡的少妇；仙女般的少女"</f>
        <v/>
      </c>
      <c r="G2749" s="18">
        <f>HYPERLINK("D:\python\英语学习\voices\"&amp;B2749&amp;"_1.mp3","BrE")</f>
        <v/>
      </c>
      <c r="H2749" s="18">
        <f>HYPERLINK("D:\python\英语学习\voices\"&amp;B2749&amp;"_2.mp3","AmE")</f>
        <v/>
      </c>
      <c r="I2749" s="18">
        <f>HYPERLINK("http://dict.youdao.com/w/"&amp;B2749,"有道")</f>
        <v/>
      </c>
    </row>
    <row r="2750">
      <c r="A2750" s="1" t="inlineStr">
        <is>
          <t>practice</t>
        </is>
      </c>
      <c r="B2750" s="1" t="inlineStr">
        <is>
          <t>virtually</t>
        </is>
      </c>
      <c r="C2750" s="7">
        <f>"adv. 事实上，几乎；实质上"</f>
        <v/>
      </c>
      <c r="G2750" s="18">
        <f>HYPERLINK("D:\python\英语学习\voices\"&amp;B2750&amp;"_1.mp3","BrE")</f>
        <v/>
      </c>
      <c r="H2750" s="18">
        <f>HYPERLINK("D:\python\英语学习\voices\"&amp;B2750&amp;"_2.mp3","AmE")</f>
        <v/>
      </c>
      <c r="I2750" s="18">
        <f>HYPERLINK("http://dict.youdao.com/w/"&amp;B2750,"有道")</f>
        <v/>
      </c>
    </row>
    <row customHeight="1" ht="28.5" r="2751">
      <c r="A2751" s="1" t="inlineStr">
        <is>
          <t>practice</t>
        </is>
      </c>
      <c r="B2751" s="1" t="inlineStr">
        <is>
          <t>predominant</t>
        </is>
      </c>
      <c r="C2751" s="7">
        <f>"adj. 主要的；卓越的；支配的；有力的；有影响的"</f>
        <v/>
      </c>
      <c r="G2751" s="18">
        <f>HYPERLINK("D:\python\英语学习\voices\"&amp;B2751&amp;"_1.mp3","BrE")</f>
        <v/>
      </c>
      <c r="H2751" s="18">
        <f>HYPERLINK("D:\python\英语学习\voices\"&amp;B2751&amp;"_2.mp3","AmE")</f>
        <v/>
      </c>
      <c r="I2751" s="18">
        <f>HYPERLINK("http://dict.youdao.com/w/"&amp;B2751,"有道")</f>
        <v/>
      </c>
    </row>
    <row customHeight="1" ht="42.75" r="2752">
      <c r="B2752" s="1" t="inlineStr">
        <is>
          <t>juggle</t>
        </is>
      </c>
      <c r="C2752" s="7">
        <f>"vi. 玩杂耍；欺骗；歪曲"&amp;CHAR(10)&amp;"vt. 歪曲；欺骗"&amp;CHAR(10)&amp;"n. 玩戏法；欺骗"</f>
        <v/>
      </c>
      <c r="G2752" s="18">
        <f>HYPERLINK("D:\python\英语学习\voices\"&amp;B2752&amp;"_1.mp3","BrE")</f>
        <v/>
      </c>
      <c r="H2752" s="18">
        <f>HYPERLINK("D:\python\英语学习\voices\"&amp;B2752&amp;"_2.mp3","AmE")</f>
        <v/>
      </c>
      <c r="I2752" s="18">
        <f>HYPERLINK("http://dict.youdao.com/w/"&amp;B2752,"有道")</f>
        <v/>
      </c>
    </row>
    <row r="2753">
      <c r="B2753" s="1" t="inlineStr">
        <is>
          <t>polygon</t>
        </is>
      </c>
      <c r="C2753" s="7">
        <f>"n. 多边形；多角形物体"</f>
        <v/>
      </c>
      <c r="G2753" s="18">
        <f>HYPERLINK("D:\python\英语学习\voices\"&amp;B2753&amp;"_1.mp3","BrE")</f>
        <v/>
      </c>
      <c r="H2753" s="18">
        <f>HYPERLINK("D:\python\英语学习\voices\"&amp;B2753&amp;"_2.mp3","AmE")</f>
        <v/>
      </c>
      <c r="I2753" s="18">
        <f>HYPERLINK("http://dict.youdao.com/w/"&amp;B2753,"有道")</f>
        <v/>
      </c>
    </row>
    <row r="2754">
      <c r="A2754" s="1" t="inlineStr">
        <is>
          <t>unnecessary</t>
        </is>
      </c>
      <c r="B2754" s="1" t="inlineStr">
        <is>
          <t>plaintext</t>
        </is>
      </c>
      <c r="C2754" s="7">
        <f>"n. 明文；纯文本档案"</f>
        <v/>
      </c>
      <c r="E2754" s="6" t="inlineStr">
        <is>
          <t>pcked 明文密文加/解密秘钥加密算法解密算法</t>
        </is>
      </c>
      <c r="G2754" s="18">
        <f>HYPERLINK("D:\python\英语学习\voices\"&amp;B2754&amp;"_1.mp3","BrE")</f>
        <v/>
      </c>
      <c r="H2754" s="18">
        <f>HYPERLINK("D:\python\英语学习\voices\"&amp;B2754&amp;"_2.mp3","AmE")</f>
        <v/>
      </c>
      <c r="I2754" s="18">
        <f>HYPERLINK("http://dict.youdao.com/w/"&amp;B2754,"有道")</f>
        <v/>
      </c>
    </row>
    <row customHeight="1" ht="28.5" r="2755">
      <c r="B2755" s="1" t="inlineStr">
        <is>
          <t>brochure</t>
        </is>
      </c>
      <c r="C2755" s="7">
        <f>"n. 手册，小册子"&amp;CHAR(10)&amp;"n. (Brochure) （美）布罗许尔（人名）"</f>
        <v/>
      </c>
      <c r="E2755" s="6" t="inlineStr">
        <is>
          <t>注意拼写</t>
        </is>
      </c>
      <c r="G2755" s="18">
        <f>HYPERLINK("D:\python\英语学习\voices\"&amp;B2755&amp;"_1.mp3","BrE")</f>
        <v/>
      </c>
      <c r="H2755" s="18">
        <f>HYPERLINK("D:\python\英语学习\voices\"&amp;B2755&amp;"_2.mp3","AmE")</f>
        <v/>
      </c>
      <c r="I2755" s="18">
        <f>HYPERLINK("http://dict.youdao.com/w/"&amp;B2755,"有道")</f>
        <v/>
      </c>
    </row>
    <row r="2756">
      <c r="B2756" s="1" t="inlineStr">
        <is>
          <t>refurbish</t>
        </is>
      </c>
      <c r="C2756" s="7">
        <f>"v. 整修，翻新重装；修改，完善"</f>
        <v/>
      </c>
      <c r="G2756" s="18">
        <f>HYPERLINK("D:\python\英语学习\voices\"&amp;B2756&amp;"_1.mp3","BrE")</f>
        <v/>
      </c>
      <c r="H2756" s="18">
        <f>HYPERLINK("D:\python\英语学习\voices\"&amp;B2756&amp;"_2.mp3","AmE")</f>
        <v/>
      </c>
      <c r="I2756" s="18">
        <f>HYPERLINK("http://dict.youdao.com/w/"&amp;B2756,"有道")</f>
        <v/>
      </c>
    </row>
    <row r="2757">
      <c r="B2757" s="1" t="inlineStr">
        <is>
          <t>retractable</t>
        </is>
      </c>
      <c r="C2757" s="7">
        <f>"adj. 可缩进的；可收起的；伸缩自如的"</f>
        <v/>
      </c>
      <c r="G2757" s="18">
        <f>HYPERLINK("D:\python\英语学习\voices\"&amp;B2757&amp;"_1.mp3","BrE")</f>
        <v/>
      </c>
      <c r="H2757" s="18">
        <f>HYPERLINK("D:\python\英语学习\voices\"&amp;B2757&amp;"_2.mp3","AmE")</f>
        <v/>
      </c>
      <c r="I2757" s="18">
        <f>HYPERLINK("http://dict.youdao.com/w/"&amp;B2757,"有道")</f>
        <v/>
      </c>
    </row>
    <row r="2758">
      <c r="B2758" s="1" t="inlineStr">
        <is>
          <t>refurbished</t>
        </is>
      </c>
      <c r="C2758" s="7">
        <f>"v. 翻新，刷新（refurbish的过去分词）"</f>
        <v/>
      </c>
      <c r="G2758" s="18">
        <f>HYPERLINK("D:\python\英语学习\voices\"&amp;B2758&amp;"_1.mp3","BrE")</f>
        <v/>
      </c>
      <c r="H2758" s="18">
        <f>HYPERLINK("D:\python\英语学习\voices\"&amp;B2758&amp;"_2.mp3","AmE")</f>
        <v/>
      </c>
      <c r="I2758" s="18">
        <f>HYPERLINK("http://dict.youdao.com/w/"&amp;B2758,"有道")</f>
        <v/>
      </c>
    </row>
    <row customHeight="1" ht="28.5" r="2759">
      <c r="B2759" s="1" t="inlineStr">
        <is>
          <t>suite</t>
        </is>
      </c>
      <c r="C2759" s="7">
        <f>"n. （一套）家具；套房；组曲；（一批）随员，随从"</f>
        <v/>
      </c>
      <c r="G2759" s="18">
        <f>HYPERLINK("D:\python\英语学习\voices\"&amp;B2759&amp;"_1.mp3","BrE")</f>
        <v/>
      </c>
      <c r="H2759" s="18">
        <f>HYPERLINK("D:\python\英语学习\voices\"&amp;B2759&amp;"_2.mp3","AmE")</f>
        <v/>
      </c>
      <c r="I2759" s="18">
        <f>HYPERLINK("http://dict.youdao.com/w/"&amp;B2759,"有道")</f>
        <v/>
      </c>
    </row>
    <row customHeight="1" ht="28.5" r="2760">
      <c r="B2760" s="1" t="inlineStr">
        <is>
          <t>unfold</t>
        </is>
      </c>
      <c r="C2760" s="7">
        <f>"vt. 打开；呈现"&amp;CHAR(10)&amp;"vi. 展开；显露"</f>
        <v/>
      </c>
      <c r="E2760" s="6" t="inlineStr">
        <is>
          <t>用得好很好-story unfold</t>
        </is>
      </c>
      <c r="G2760" s="18">
        <f>HYPERLINK("D:\python\英语学习\voices\"&amp;B2760&amp;"_1.mp3","BrE")</f>
        <v/>
      </c>
      <c r="H2760" s="18">
        <f>HYPERLINK("D:\python\英语学习\voices\"&amp;B2760&amp;"_2.mp3","AmE")</f>
        <v/>
      </c>
      <c r="I2760" s="18">
        <f>HYPERLINK("http://dict.youdao.com/w/"&amp;B2760,"有道")</f>
        <v/>
      </c>
    </row>
    <row customHeight="1" ht="28.5" r="2761">
      <c r="B2761" s="1" t="inlineStr">
        <is>
          <t>shoddy</t>
        </is>
      </c>
      <c r="C2761" s="7">
        <f>"adj. 劣质的，粗制滥造的；卑鄙的，不正当的"&amp;CHAR(10)&amp;"n. 长弹毛（织物），软再生毛（织物）"</f>
        <v/>
      </c>
      <c r="G2761" s="18">
        <f>HYPERLINK("D:\python\英语学习\voices\"&amp;B2761&amp;"_1.mp3","BrE")</f>
        <v/>
      </c>
      <c r="H2761" s="18">
        <f>HYPERLINK("D:\python\英语学习\voices\"&amp;B2761&amp;"_2.mp3","AmE")</f>
        <v/>
      </c>
      <c r="I2761" s="18">
        <f>HYPERLINK("http://dict.youdao.com/w/"&amp;B2761,"有道")</f>
        <v/>
      </c>
    </row>
    <row r="2762">
      <c r="A2762" s="1" t="inlineStr">
        <is>
          <t>unnecessary</t>
        </is>
      </c>
      <c r="B2762" s="1" t="inlineStr">
        <is>
          <t>credo</t>
        </is>
      </c>
      <c r="C2762" s="7">
        <f>"n. 信条，教义"</f>
        <v/>
      </c>
      <c r="E2762" s="6">
        <f>creed</f>
        <v/>
      </c>
      <c r="G2762" s="18">
        <f>HYPERLINK("D:\python\英语学习\voices\"&amp;B2762&amp;"_1.mp3","BrE")</f>
        <v/>
      </c>
      <c r="H2762" s="18">
        <f>HYPERLINK("D:\python\英语学习\voices\"&amp;B2762&amp;"_2.mp3","AmE")</f>
        <v/>
      </c>
      <c r="I2762" s="18">
        <f>HYPERLINK("http://dict.youdao.com/w/"&amp;B2762,"有道")</f>
        <v/>
      </c>
    </row>
    <row r="2763">
      <c r="B2763" s="1" t="inlineStr">
        <is>
          <t>cruck</t>
        </is>
      </c>
      <c r="C2763" s="7">
        <f>"n. （构成房屋曲木屋架的）曲木"</f>
        <v/>
      </c>
      <c r="E2763" s="6" t="inlineStr">
        <is>
          <t>顶梁柱，象征意义--to form the crucks of the film</t>
        </is>
      </c>
      <c r="G2763" s="18">
        <f>HYPERLINK("D:\python\英语学习\voices\"&amp;B2763&amp;"_1.mp3","BrE")</f>
        <v/>
      </c>
      <c r="H2763" s="18">
        <f>HYPERLINK("D:\python\英语学习\voices\"&amp;B2763&amp;"_2.mp3","AmE")</f>
        <v/>
      </c>
      <c r="I2763" s="18">
        <f>HYPERLINK("http://dict.youdao.com/w/"&amp;B2763,"有道")</f>
        <v/>
      </c>
    </row>
    <row customHeight="1" ht="42.75" r="2764">
      <c r="B2764" s="1" t="inlineStr">
        <is>
          <t>pastel</t>
        </is>
      </c>
      <c r="C2764" s="7">
        <f>"n. 彩色粉笔，蜡笔；淡雅柔和的色彩"&amp;CHAR(10)&amp;"adj. 淡的，柔和的；彩色粉笔的，蜡笔的"&amp;CHAR(10)&amp;"n. (Pastel) 帕斯泰尔（人名）"</f>
        <v/>
      </c>
      <c r="G2764" s="18">
        <f>HYPERLINK("D:\python\英语学习\voices\"&amp;B2764&amp;"_1.mp3","BrE")</f>
        <v/>
      </c>
      <c r="H2764" s="18">
        <f>HYPERLINK("D:\python\英语学习\voices\"&amp;B2764&amp;"_2.mp3","AmE")</f>
        <v/>
      </c>
      <c r="I2764" s="18">
        <f>HYPERLINK("http://dict.youdao.com/w/"&amp;B2764,"有道")</f>
        <v/>
      </c>
    </row>
    <row customHeight="1" ht="28.5" r="2765">
      <c r="B2765" s="1" t="inlineStr">
        <is>
          <t>ado</t>
        </is>
      </c>
      <c r="C2765" s="7">
        <f>"n. 麻烦，困难；纷扰，忙乱"&amp;CHAR(10)&amp;"n. (Ado) （意、尼）阿杜（人名）"</f>
        <v/>
      </c>
      <c r="G2765" s="18">
        <f>HYPERLINK("D:\python\英语学习\voices\"&amp;B2765&amp;"_1.mp3","BrE")</f>
        <v/>
      </c>
      <c r="H2765" s="18">
        <f>HYPERLINK("D:\python\英语学习\voices\"&amp;B2765&amp;"_2.mp3","AmE")</f>
        <v/>
      </c>
      <c r="I2765" s="18">
        <f>HYPERLINK("http://dict.youdao.com/w/"&amp;B2765,"有道")</f>
        <v/>
      </c>
    </row>
    <row customHeight="1" ht="28.5" r="2766">
      <c r="B2766" s="1" t="inlineStr">
        <is>
          <t>grumpy</t>
        </is>
      </c>
      <c r="C2766" s="7">
        <f>"adj. 脾气暴躁的；性情乖戾的"&amp;CHAR(10)&amp;"n. 脾气坏的人；爱抱怨的人"</f>
        <v/>
      </c>
      <c r="G2766" s="18">
        <f>HYPERLINK("D:\python\英语学习\voices\"&amp;B2766&amp;"_1.mp3","BrE")</f>
        <v/>
      </c>
      <c r="H2766" s="18">
        <f>HYPERLINK("D:\python\英语学习\voices\"&amp;B2766&amp;"_2.mp3","AmE")</f>
        <v/>
      </c>
      <c r="I2766" s="18">
        <f>HYPERLINK("http://dict.youdao.com/w/"&amp;B2766,"有道")</f>
        <v/>
      </c>
    </row>
    <row r="2767">
      <c r="B2767" s="1" t="inlineStr">
        <is>
          <t>arduous</t>
        </is>
      </c>
      <c r="C2767" s="7">
        <f>"adj. 努力的；费力的；险峻的"</f>
        <v/>
      </c>
      <c r="E2767" s="6" t="inlineStr">
        <is>
          <t>the journey to completion would be long and arduous</t>
        </is>
      </c>
      <c r="G2767" s="18">
        <f>HYPERLINK("D:\python\英语学习\voices\"&amp;B2767&amp;"_1.mp3","BrE")</f>
        <v/>
      </c>
      <c r="H2767" s="18">
        <f>HYPERLINK("D:\python\英语学习\voices\"&amp;B2767&amp;"_2.mp3","AmE")</f>
        <v/>
      </c>
      <c r="I2767" s="18">
        <f>HYPERLINK("http://dict.youdao.com/w/"&amp;B2767,"有道")</f>
        <v/>
      </c>
    </row>
    <row customHeight="1" ht="42.75" r="2768">
      <c r="B2768" s="1" t="inlineStr">
        <is>
          <t>grist</t>
        </is>
      </c>
      <c r="C2768" s="7">
        <f>"n. 谷物（尤指磨成粉用或已磨成粉的谷物）；酿造用的碎麦芽"&amp;CHAR(10)&amp;"n. (Grist)人名；(德)格里斯特"</f>
        <v/>
      </c>
      <c r="G2768" s="18">
        <f>HYPERLINK("D:\python\英语学习\voices\"&amp;B2768&amp;"_1.mp3","BrE")</f>
        <v/>
      </c>
      <c r="H2768" s="18">
        <f>HYPERLINK("D:\python\英语学习\voices\"&amp;B2768&amp;"_2.mp3","AmE")</f>
        <v/>
      </c>
      <c r="I2768" s="18">
        <f>HYPERLINK("http://dict.youdao.com/w/"&amp;B2768,"有道")</f>
        <v/>
      </c>
    </row>
    <row customHeight="1" ht="57" r="2769">
      <c r="B2769" s="1" t="inlineStr">
        <is>
          <t>scheme</t>
        </is>
      </c>
      <c r="C2769" s="7">
        <f>"n. 计划；组合；体制；诡计"&amp;CHAR(10)&amp;"vi. 搞阴谋；拟订计划"&amp;CHAR(10)&amp;"vt. 计划；策划"&amp;CHAR(10)&amp;"n. (Scheme)人名；(瑞典)谢默"</f>
        <v/>
      </c>
      <c r="G2769" s="18">
        <f>HYPERLINK("D:\python\英语学习\voices\"&amp;B2769&amp;"_1.mp3","BrE")</f>
        <v/>
      </c>
      <c r="H2769" s="18">
        <f>HYPERLINK("D:\python\英语学习\voices\"&amp;B2769&amp;"_2.mp3","AmE")</f>
        <v/>
      </c>
      <c r="I2769" s="18">
        <f>HYPERLINK("http://dict.youdao.com/w/"&amp;B2769,"有道")</f>
        <v/>
      </c>
    </row>
    <row customHeight="1" ht="85.5" r="2770">
      <c r="B2770" s="1" t="inlineStr">
        <is>
          <t>squirt</t>
        </is>
      </c>
      <c r="C2770" s="7">
        <f>"v. （使）喷射，喷出，挤；把……喷湿；（用……）向……喷射；（物体）突然不定向地移动；高密度传递（信息）"&amp;CHAR(10)&amp;"n. 喷射，注射；喷射出的一股液体；细小喷流；喷嘴；高速的无线电信号；厚颜无耻的人，无名之辈"</f>
        <v/>
      </c>
      <c r="G2770" s="18">
        <f>HYPERLINK("D:\python\英语学习\voices\"&amp;B2770&amp;"_1.mp3","BrE")</f>
        <v/>
      </c>
      <c r="H2770" s="18">
        <f>HYPERLINK("D:\python\英语学习\voices\"&amp;B2770&amp;"_2.mp3","AmE")</f>
        <v/>
      </c>
      <c r="I2770" s="18">
        <f>HYPERLINK("http://dict.youdao.com/w/"&amp;B2770,"有道")</f>
        <v/>
      </c>
    </row>
    <row customHeight="1" ht="28.5" r="2771">
      <c r="B2771" s="1" t="inlineStr">
        <is>
          <t>squirm</t>
        </is>
      </c>
      <c r="C2771" s="7">
        <f>"vi. 蠕动，扭动；羞愧，不舒服"&amp;CHAR(10)&amp;"n. 蠕动"</f>
        <v/>
      </c>
      <c r="G2771" s="18">
        <f>HYPERLINK("D:\python\英语学习\voices\"&amp;B2771&amp;"_1.mp3","BrE")</f>
        <v/>
      </c>
      <c r="H2771" s="18">
        <f>HYPERLINK("D:\python\英语学习\voices\"&amp;B2771&amp;"_2.mp3","AmE")</f>
        <v/>
      </c>
      <c r="I2771" s="18">
        <f>HYPERLINK("http://dict.youdao.com/w/"&amp;B2771,"有道")</f>
        <v/>
      </c>
    </row>
    <row r="2772">
      <c r="B2772" s="1" t="inlineStr">
        <is>
          <t>rhythm</t>
        </is>
      </c>
      <c r="C2772" s="7">
        <f>"n. 节奏；韵律"</f>
        <v/>
      </c>
      <c r="E2772" s="6" t="inlineStr">
        <is>
          <t>注意拼写</t>
        </is>
      </c>
      <c r="G2772" s="18">
        <f>HYPERLINK("D:\python\英语学习\voices\"&amp;B2772&amp;"_1.mp3","BrE")</f>
        <v/>
      </c>
      <c r="H2772" s="18">
        <f>HYPERLINK("D:\python\英语学习\voices\"&amp;B2772&amp;"_2.mp3","AmE")</f>
        <v/>
      </c>
      <c r="I2772" s="18">
        <f>HYPERLINK("http://dict.youdao.com/w/"&amp;B2772,"有道")</f>
        <v/>
      </c>
    </row>
    <row customHeight="1" ht="57" r="2773">
      <c r="B2773" s="1" t="inlineStr">
        <is>
          <t>solace</t>
        </is>
      </c>
      <c r="C2773" s="7">
        <f>"n. 安慰；慰藉；安慰之物"&amp;CHAR(10)&amp;"vt. 安慰；抚慰；使快乐（过去式solaced，过去分词solaced，现在分词solacing，第三人称单数solaces）"</f>
        <v/>
      </c>
      <c r="G2773" s="18">
        <f>HYPERLINK("D:\python\英语学习\voices\"&amp;B2773&amp;"_1.mp3","BrE")</f>
        <v/>
      </c>
      <c r="H2773" s="18">
        <f>HYPERLINK("D:\python\英语学习\voices\"&amp;B2773&amp;"_2.mp3","AmE")</f>
        <v/>
      </c>
      <c r="I2773" s="18">
        <f>HYPERLINK("http://dict.youdao.com/w/"&amp;B2773,"有道")</f>
        <v/>
      </c>
    </row>
    <row customHeight="1" ht="57" r="2774">
      <c r="B2774" s="1" t="inlineStr">
        <is>
          <t>hurdle</t>
        </is>
      </c>
      <c r="C2774" s="7">
        <f>"n. 障碍；栏；跳栏"&amp;CHAR(10)&amp;"vt. 克服"&amp;CHAR(10)&amp;"vi. 克服；跳过"&amp;CHAR(10)&amp;"n. (Hurdle)人名；(英)赫德尔"</f>
        <v/>
      </c>
      <c r="G2774" s="18">
        <f>HYPERLINK("D:\python\英语学习\voices\"&amp;B2774&amp;"_1.mp3","BrE")</f>
        <v/>
      </c>
      <c r="H2774" s="18">
        <f>HYPERLINK("D:\python\英语学习\voices\"&amp;B2774&amp;"_2.mp3","AmE")</f>
        <v/>
      </c>
      <c r="I2774" s="18">
        <f>HYPERLINK("http://dict.youdao.com/w/"&amp;B2774,"有道")</f>
        <v/>
      </c>
    </row>
    <row r="2775">
      <c r="B2775" s="1" t="inlineStr">
        <is>
          <t>untangle</t>
        </is>
      </c>
      <c r="C2775" s="7">
        <f>"vt. 清理；整顿；解开…纠结"</f>
        <v/>
      </c>
      <c r="E2775" s="6" t="inlineStr">
        <is>
          <t>用得好很好untangle one's feeling =express?</t>
        </is>
      </c>
      <c r="G2775" s="18">
        <f>HYPERLINK("D:\python\英语学习\voices\"&amp;B2775&amp;"_1.mp3","BrE")</f>
        <v/>
      </c>
      <c r="H2775" s="18">
        <f>HYPERLINK("D:\python\英语学习\voices\"&amp;B2775&amp;"_2.mp3","AmE")</f>
        <v/>
      </c>
      <c r="I2775" s="18">
        <f>HYPERLINK("http://dict.youdao.com/w/"&amp;B2775,"有道")</f>
        <v/>
      </c>
    </row>
    <row customHeight="1" ht="28.5" r="2776">
      <c r="B2776" s="1" t="inlineStr">
        <is>
          <t>prone</t>
        </is>
      </c>
      <c r="C2776" s="7">
        <f>"adj. 俯卧的；有…倾向的，易于…的"&amp;CHAR(10)&amp;"n. (Prone)人名；(意、法)普罗内"</f>
        <v/>
      </c>
      <c r="E2776" s="6" t="inlineStr">
        <is>
          <t>be prone to</t>
        </is>
      </c>
      <c r="G2776" s="18">
        <f>HYPERLINK("D:\python\英语学习\voices\"&amp;B2776&amp;"_1.mp3","BrE")</f>
        <v/>
      </c>
      <c r="H2776" s="18">
        <f>HYPERLINK("D:\python\英语学习\voices\"&amp;B2776&amp;"_2.mp3","AmE")</f>
        <v/>
      </c>
      <c r="I2776" s="18">
        <f>HYPERLINK("http://dict.youdao.com/w/"&amp;B2776,"有道")</f>
        <v/>
      </c>
    </row>
    <row customHeight="1" ht="28.5" r="2777">
      <c r="B2777" s="1" t="inlineStr">
        <is>
          <t>recap</t>
        </is>
      </c>
      <c r="C2777" s="7">
        <f>"n. 翻新的轮胎"&amp;CHAR(10)&amp;"vt. 翻新胎面；扼要重述"</f>
        <v/>
      </c>
      <c r="G2777" s="18">
        <f>HYPERLINK("D:\python\英语学习\voices\"&amp;B2777&amp;"_1.mp3","BrE")</f>
        <v/>
      </c>
      <c r="H2777" s="18">
        <f>HYPERLINK("D:\python\英语学习\voices\"&amp;B2777&amp;"_2.mp3","AmE")</f>
        <v/>
      </c>
      <c r="I2777" s="18">
        <f>HYPERLINK("http://dict.youdao.com/w/"&amp;B2777,"有道")</f>
        <v/>
      </c>
    </row>
    <row r="2778">
      <c r="B2778" s="1" t="inlineStr">
        <is>
          <t>futon</t>
        </is>
      </c>
      <c r="C2778" s="7">
        <f>"n. 蒲团；日式床垫"</f>
        <v/>
      </c>
      <c r="G2778" s="18">
        <f>HYPERLINK("D:\python\英语学习\voices\"&amp;B2778&amp;"_1.mp3","BrE")</f>
        <v/>
      </c>
      <c r="H2778" s="18">
        <f>HYPERLINK("D:\python\英语学习\voices\"&amp;B2778&amp;"_2.mp3","AmE")</f>
        <v/>
      </c>
      <c r="I2778" s="18">
        <f>HYPERLINK("http://dict.youdao.com/w/"&amp;B2778,"有道")</f>
        <v/>
      </c>
    </row>
    <row r="2779">
      <c r="B2779" s="1" t="inlineStr">
        <is>
          <t>briskly</t>
        </is>
      </c>
      <c r="C2779" s="7">
        <f>"adv. 迅速地；活泼地；尖刻地"</f>
        <v/>
      </c>
      <c r="G2779" s="18">
        <f>HYPERLINK("D:\python\英语学习\voices\"&amp;B2779&amp;"_1.mp3","BrE")</f>
        <v/>
      </c>
      <c r="H2779" s="18">
        <f>HYPERLINK("D:\python\英语学习\voices\"&amp;B2779&amp;"_2.mp3","AmE")</f>
        <v/>
      </c>
      <c r="I2779" s="18">
        <f>HYPERLINK("http://dict.youdao.com/w/"&amp;B2779,"有道")</f>
        <v/>
      </c>
    </row>
    <row r="2780">
      <c r="B2780" s="1" t="inlineStr">
        <is>
          <t>categorize</t>
        </is>
      </c>
      <c r="C2780" s="7">
        <f>"vt. 分类"</f>
        <v/>
      </c>
      <c r="G2780" s="18">
        <f>HYPERLINK("D:\python\英语学习\voices\"&amp;B2780&amp;"_1.mp3","BrE")</f>
        <v/>
      </c>
      <c r="H2780" s="18">
        <f>HYPERLINK("D:\python\英语学习\voices\"&amp;B2780&amp;"_2.mp3","AmE")</f>
        <v/>
      </c>
      <c r="I2780" s="18">
        <f>HYPERLINK("http://dict.youdao.com/w/"&amp;B2780,"有道")</f>
        <v/>
      </c>
    </row>
    <row customHeight="1" ht="28.5" r="2781">
      <c r="B2781" s="1" t="inlineStr">
        <is>
          <t>dolt</t>
        </is>
      </c>
      <c r="C2781" s="7">
        <f>"n. 笨蛋，傻瓜；呆子"&amp;CHAR(10)&amp;"n. (Dolt)人名；(法)多尔特"</f>
        <v/>
      </c>
      <c r="G2781" s="18">
        <f>HYPERLINK("D:\python\英语学习\voices\"&amp;B2781&amp;"_1.mp3","BrE")</f>
        <v/>
      </c>
      <c r="H2781" s="18">
        <f>HYPERLINK("D:\python\英语学习\voices\"&amp;B2781&amp;"_2.mp3","AmE")</f>
        <v/>
      </c>
      <c r="I2781" s="18">
        <f>HYPERLINK("http://dict.youdao.com/w/"&amp;B2781,"有道")</f>
        <v/>
      </c>
    </row>
    <row customHeight="1" ht="28.5" r="2782">
      <c r="B2782" s="1" t="inlineStr">
        <is>
          <t>juncture</t>
        </is>
      </c>
      <c r="C2782" s="7">
        <f>"n. 接缝；连接；接合；特定时刻，关头；交接处，接合点；音渡"</f>
        <v/>
      </c>
      <c r="E2782" s="6" t="inlineStr">
        <is>
          <t>区分junction交叉点</t>
        </is>
      </c>
      <c r="G2782" s="18">
        <f>HYPERLINK("D:\python\英语学习\voices\"&amp;B2782&amp;"_1.mp3","BrE")</f>
        <v/>
      </c>
      <c r="H2782" s="18">
        <f>HYPERLINK("D:\python\英语学习\voices\"&amp;B2782&amp;"_2.mp3","AmE")</f>
        <v/>
      </c>
      <c r="I2782" s="18">
        <f>HYPERLINK("http://dict.youdao.com/w/"&amp;B2782,"有道")</f>
        <v/>
      </c>
    </row>
    <row customHeight="1" ht="29.1" r="2783">
      <c r="B2783" s="1" t="inlineStr">
        <is>
          <t>adamantly</t>
        </is>
      </c>
      <c r="C2783" s="7">
        <f>"adv. 坚硬无比地；坚强地；固执地；不动摇地"</f>
        <v/>
      </c>
      <c r="G2783" s="18">
        <f>HYPERLINK("D:\python\英语学习\voices\"&amp;B2783&amp;"_1.mp3","BrE")</f>
        <v/>
      </c>
      <c r="H2783" s="18">
        <f>HYPERLINK("D:\python\英语学习\voices\"&amp;B2783&amp;"_2.mp3","AmE")</f>
        <v/>
      </c>
      <c r="I2783" s="18">
        <f>HYPERLINK("http://dict.youdao.com/w/"&amp;B2783,"有道")</f>
        <v/>
      </c>
    </row>
    <row customHeight="1" ht="42.75" r="2784">
      <c r="B2784" s="1" t="inlineStr">
        <is>
          <t>adamant</t>
        </is>
      </c>
      <c r="C2784" s="7">
        <f>"adj. 固执的，坚强的；坚定不移的；坚硬无比的"&amp;CHAR(10)&amp;"n. 坚硬的东西；坚石"</f>
        <v/>
      </c>
      <c r="G2784" s="18">
        <f>HYPERLINK("D:\python\英语学习\voices\"&amp;B2784&amp;"_1.mp3","BrE")</f>
        <v/>
      </c>
      <c r="H2784" s="18">
        <f>HYPERLINK("D:\python\英语学习\voices\"&amp;B2784&amp;"_2.mp3","AmE")</f>
        <v/>
      </c>
      <c r="I2784" s="18">
        <f>HYPERLINK("http://dict.youdao.com/w/"&amp;B2784,"有道")</f>
        <v/>
      </c>
    </row>
    <row r="2785">
      <c r="B2785" s="1" t="inlineStr">
        <is>
          <t>momentum</t>
        </is>
      </c>
      <c r="C2785" s="7">
        <f>"n. 势头；[物] 动量；动力；冲力"</f>
        <v/>
      </c>
      <c r="E2785" s="6" t="inlineStr">
        <is>
          <t>lose momentum失去动力</t>
        </is>
      </c>
      <c r="G2785" s="18">
        <f>HYPERLINK("D:\python\英语学习\voices\"&amp;B2785&amp;"_1.mp3","BrE")</f>
        <v/>
      </c>
      <c r="H2785" s="18">
        <f>HYPERLINK("D:\python\英语学习\voices\"&amp;B2785&amp;"_2.mp3","AmE")</f>
        <v/>
      </c>
      <c r="I2785" s="18">
        <f>HYPERLINK("http://dict.youdao.com/w/"&amp;B2785,"有道")</f>
        <v/>
      </c>
    </row>
    <row r="2786">
      <c r="B2786" s="1" t="inlineStr">
        <is>
          <t>swin</t>
        </is>
      </c>
      <c r="C2786" s="7">
        <f>"n. 斯温（人名）"</f>
        <v/>
      </c>
      <c r="E2786" s="6" t="inlineStr">
        <is>
          <t>in full swing 达到活动高潮，全力进行</t>
        </is>
      </c>
      <c r="G2786" s="18">
        <f>HYPERLINK("D:\python\英语学习\voices\"&amp;B2786&amp;"_1.mp3","BrE")</f>
        <v/>
      </c>
      <c r="H2786" s="18">
        <f>HYPERLINK("D:\python\英语学习\voices\"&amp;B2786&amp;"_2.mp3","AmE")</f>
        <v/>
      </c>
      <c r="I2786" s="18">
        <f>HYPERLINK("http://dict.youdao.com/w/"&amp;B2786,"有道")</f>
        <v/>
      </c>
    </row>
    <row customHeight="1" ht="42.75" r="2787">
      <c r="B2787" s="1" t="inlineStr">
        <is>
          <t>backlog</t>
        </is>
      </c>
      <c r="C2787" s="7">
        <f>"n. [管理] 积压的工作；积压待办的事务；大木材"&amp;CHAR(10)&amp;"vt. 储备；把…积压起来"</f>
        <v/>
      </c>
      <c r="G2787" s="18">
        <f>HYPERLINK("D:\python\英语学习\voices\"&amp;B2787&amp;"_1.mp3","BrE")</f>
        <v/>
      </c>
      <c r="H2787" s="18">
        <f>HYPERLINK("D:\python\英语学习\voices\"&amp;B2787&amp;"_2.mp3","AmE")</f>
        <v/>
      </c>
      <c r="I2787" s="18">
        <f>HYPERLINK("http://dict.youdao.com/w/"&amp;B2787,"有道")</f>
        <v/>
      </c>
    </row>
    <row customHeight="1" ht="28.5" r="2788">
      <c r="B2788" s="1" t="inlineStr">
        <is>
          <t>rekindle</t>
        </is>
      </c>
      <c r="C2788" s="7">
        <f>"vi. 重新点燃"&amp;CHAR(10)&amp;"vt. 重新点燃；再点火"</f>
        <v/>
      </c>
      <c r="G2788" s="18">
        <f>HYPERLINK("D:\python\英语学习\voices\"&amp;B2788&amp;"_1.mp3","BrE")</f>
        <v/>
      </c>
      <c r="H2788" s="18">
        <f>HYPERLINK("D:\python\英语学习\voices\"&amp;B2788&amp;"_2.mp3","AmE")</f>
        <v/>
      </c>
      <c r="I2788" s="18">
        <f>HYPERLINK("http://dict.youdao.com/w/"&amp;B2788,"有道")</f>
        <v/>
      </c>
    </row>
    <row customHeight="1" ht="42.75" r="2789">
      <c r="B2789" s="1" t="inlineStr">
        <is>
          <t>overlook</t>
        </is>
      </c>
      <c r="C2789" s="7">
        <f>"vt. 忽略；俯瞰；远眺；不计较，宽恕；施魔法于；监督；检查"&amp;CHAR(10)&amp;"n. 忽视；眺望；从高处能看到的景色"</f>
        <v/>
      </c>
      <c r="G2789" s="18">
        <f>HYPERLINK("D:\python\英语学习\voices\"&amp;B2789&amp;"_1.mp3","BrE")</f>
        <v/>
      </c>
      <c r="H2789" s="18">
        <f>HYPERLINK("D:\python\英语学习\voices\"&amp;B2789&amp;"_2.mp3","AmE")</f>
        <v/>
      </c>
      <c r="I2789" s="18">
        <f>HYPERLINK("http://dict.youdao.com/w/"&amp;B2789,"有道")</f>
        <v/>
      </c>
    </row>
    <row customHeight="1" ht="57" r="2790">
      <c r="B2790" s="1" t="inlineStr">
        <is>
          <t>rattled</t>
        </is>
      </c>
      <c r="C2790" s="7">
        <f>"adj. 担忧的；紧张的；恼火的"&amp;CHAR(10)&amp;"v. 发出嘎嘎声；发出连续短促的高声；咔嚓咔嚓前进；呆在……里；占用；（非正式）使紧张，使恼火（rattle 的过去式和过去分词）"</f>
        <v/>
      </c>
      <c r="G2790" s="18">
        <f>HYPERLINK("D:\python\英语学习\voices\"&amp;B2790&amp;"_1.mp3","BrE")</f>
        <v/>
      </c>
      <c r="H2790" s="18">
        <f>HYPERLINK("D:\python\英语学习\voices\"&amp;B2790&amp;"_2.mp3","AmE")</f>
        <v/>
      </c>
      <c r="I2790" s="18">
        <f>HYPERLINK("http://dict.youdao.com/w/"&amp;B2790,"有道")</f>
        <v/>
      </c>
    </row>
    <row customHeight="1" ht="57" r="2791">
      <c r="B2791" s="1" t="inlineStr">
        <is>
          <t>bunch</t>
        </is>
      </c>
      <c r="C2791" s="7">
        <f>"n. 群；串；突出物"&amp;CHAR(10)&amp;"vi. 隆起；打褶；形成一串"&amp;CHAR(10)&amp;"vt. 使成一串；使打褶"&amp;CHAR(10)&amp;"n. (Bunch)人名；(英)邦奇"</f>
        <v/>
      </c>
      <c r="G2791" s="18">
        <f>HYPERLINK("D:\python\英语学习\voices\"&amp;B2791&amp;"_1.mp3","BrE")</f>
        <v/>
      </c>
      <c r="H2791" s="18">
        <f>HYPERLINK("D:\python\英语学习\voices\"&amp;B2791&amp;"_2.mp3","AmE")</f>
        <v/>
      </c>
      <c r="I2791" s="18">
        <f>HYPERLINK("http://dict.youdao.com/w/"&amp;B2791,"有道")</f>
        <v/>
      </c>
    </row>
    <row customHeight="1" ht="57" r="2792">
      <c r="B2792" s="1" t="inlineStr">
        <is>
          <t>score</t>
        </is>
      </c>
      <c r="C2792" s="7">
        <f>"n. 分数；二十；配乐；刻痕"&amp;CHAR(10)&amp;"vt. 获得；评价；划线，刻划；把…记下"&amp;CHAR(10)&amp;"vi. 得分；记分；刻痕"&amp;CHAR(10)&amp;"n. (Score)人名；(英)斯科尔"</f>
        <v/>
      </c>
      <c r="E2792" s="6" t="inlineStr">
        <is>
          <t>scores of</t>
        </is>
      </c>
      <c r="G2792" s="18">
        <f>HYPERLINK("D:\python\英语学习\voices\"&amp;B2792&amp;"_1.mp3","BrE")</f>
        <v/>
      </c>
      <c r="H2792" s="18">
        <f>HYPERLINK("D:\python\英语学习\voices\"&amp;B2792&amp;"_2.mp3","AmE")</f>
        <v/>
      </c>
      <c r="I2792" s="18">
        <f>HYPERLINK("http://dict.youdao.com/w/"&amp;B2792,"有道")</f>
        <v/>
      </c>
    </row>
    <row customHeight="1" ht="42.75" r="2793">
      <c r="B2793" s="1" t="inlineStr">
        <is>
          <t>croak</t>
        </is>
      </c>
      <c r="C2793" s="7">
        <f>"vi. 呱呱地叫；发牢骚；死"&amp;CHAR(10)&amp;"vt. 用嘶哑的声音说；死亡"&amp;CHAR(10)&amp;"n. 呱呱叫声；低沉沙哑的说话声"</f>
        <v/>
      </c>
      <c r="G2793" s="18">
        <f>HYPERLINK("D:\python\英语学习\voices\"&amp;B2793&amp;"_1.mp3","BrE")</f>
        <v/>
      </c>
      <c r="H2793" s="18">
        <f>HYPERLINK("D:\python\英语学习\voices\"&amp;B2793&amp;"_2.mp3","AmE")</f>
        <v/>
      </c>
      <c r="I2793" s="18">
        <f>HYPERLINK("http://dict.youdao.com/w/"&amp;B2793,"有道")</f>
        <v/>
      </c>
    </row>
    <row r="2794">
      <c r="B2794" s="1" t="inlineStr">
        <is>
          <t>boundless</t>
        </is>
      </c>
      <c r="C2794" s="7">
        <f>"adj. 无限的；无边无际的"</f>
        <v/>
      </c>
      <c r="G2794" s="18">
        <f>HYPERLINK("D:\python\英语学习\voices\"&amp;B2794&amp;"_1.mp3","BrE")</f>
        <v/>
      </c>
      <c r="H2794" s="18">
        <f>HYPERLINK("D:\python\英语学习\voices\"&amp;B2794&amp;"_2.mp3","AmE")</f>
        <v/>
      </c>
      <c r="I2794" s="18">
        <f>HYPERLINK("http://dict.youdao.com/w/"&amp;B2794,"有道")</f>
        <v/>
      </c>
    </row>
    <row customHeight="1" ht="29.1" r="2795">
      <c r="B2795" s="1" t="inlineStr">
        <is>
          <t>lucid</t>
        </is>
      </c>
      <c r="C2795" s="7">
        <f>"adj. 明晰的；透明的；易懂的；头脑清楚的"</f>
        <v/>
      </c>
      <c r="G2795" s="18">
        <f>HYPERLINK("D:\python\英语学习\voices\"&amp;B2795&amp;"_1.mp3","BrE")</f>
        <v/>
      </c>
      <c r="H2795" s="18">
        <f>HYPERLINK("D:\python\英语学习\voices\"&amp;B2795&amp;"_2.mp3","AmE")</f>
        <v/>
      </c>
      <c r="I2795" s="18">
        <f>HYPERLINK("http://dict.youdao.com/w/"&amp;B2795,"有道")</f>
        <v/>
      </c>
    </row>
    <row customHeight="1" ht="28.5" r="2796">
      <c r="A2796" s="1" t="inlineStr">
        <is>
          <t>practice</t>
        </is>
      </c>
      <c r="B2796" s="1" t="inlineStr">
        <is>
          <t>predominantly</t>
        </is>
      </c>
      <c r="C2796" s="7">
        <f>"adv. 主要地；显著地"</f>
        <v/>
      </c>
      <c r="G2796" s="18">
        <f>HYPERLINK("D:\python\英语学习\voices\"&amp;B2796&amp;"_1.mp3","BrE")</f>
        <v/>
      </c>
      <c r="H2796" s="18">
        <f>HYPERLINK("D:\python\英语学习\voices\"&amp;B2796&amp;"_2.mp3","AmE")</f>
        <v/>
      </c>
      <c r="I2796" s="18">
        <f>HYPERLINK("http://dict.youdao.com/w/"&amp;B2796,"有道")</f>
        <v/>
      </c>
    </row>
    <row customHeight="1" ht="28.5" r="2797">
      <c r="A2797" s="1" t="inlineStr">
        <is>
          <t>practice</t>
        </is>
      </c>
      <c r="B2797" s="1" t="inlineStr">
        <is>
          <t>upbeat</t>
        </is>
      </c>
      <c r="C2797" s="7">
        <f>"n. 兴旺；上升；弱拍"&amp;CHAR(10)&amp;"adj. 乐观的；上升的"</f>
        <v/>
      </c>
      <c r="G2797" s="18">
        <f>HYPERLINK("D:\python\英语学习\voices\"&amp;B2797&amp;"_1.mp3","BrE")</f>
        <v/>
      </c>
      <c r="H2797" s="18">
        <f>HYPERLINK("D:\python\英语学习\voices\"&amp;B2797&amp;"_2.mp3","AmE")</f>
        <v/>
      </c>
      <c r="I2797" s="18">
        <f>HYPERLINK("http://dict.youdao.com/w/"&amp;B2797,"有道")</f>
        <v/>
      </c>
    </row>
    <row customHeight="1" ht="28.5" r="2798">
      <c r="B2798" s="1" t="inlineStr">
        <is>
          <t>dupe</t>
        </is>
      </c>
      <c r="C2798" s="7">
        <f>"n. 上当者；易受骗的人"&amp;CHAR(10)&amp;"vt. 欺骗；愚弄（等于duplicate）"</f>
        <v/>
      </c>
      <c r="G2798" s="18">
        <f>HYPERLINK("D:\python\英语学习\voices\"&amp;B2798&amp;"_1.mp3","BrE")</f>
        <v/>
      </c>
      <c r="H2798" s="18">
        <f>HYPERLINK("D:\python\英语学习\voices\"&amp;B2798&amp;"_2.mp3","AmE")</f>
        <v/>
      </c>
      <c r="I2798" s="18">
        <f>HYPERLINK("http://dict.youdao.com/w/"&amp;B2798,"有道")</f>
        <v/>
      </c>
    </row>
    <row r="2799">
      <c r="B2799" s="1" t="inlineStr">
        <is>
          <t>saboteur</t>
        </is>
      </c>
      <c r="C2799" s="7">
        <f>"n. 怠工者，破坏者；从事破坏活动者"</f>
        <v/>
      </c>
      <c r="G2799" s="18">
        <f>HYPERLINK("D:\python\英语学习\voices\"&amp;B2799&amp;"_1.mp3","BrE")</f>
        <v/>
      </c>
      <c r="H2799" s="18">
        <f>HYPERLINK("D:\python\英语学习\voices\"&amp;B2799&amp;"_2.mp3","AmE")</f>
        <v/>
      </c>
      <c r="I2799" s="18">
        <f>HYPERLINK("http://dict.youdao.com/w/"&amp;B2799,"有道")</f>
        <v/>
      </c>
    </row>
    <row r="2800">
      <c r="B2800" s="1" t="inlineStr">
        <is>
          <t>compendium</t>
        </is>
      </c>
      <c r="C2800" s="7">
        <f>"n. 纲要；概略"</f>
        <v/>
      </c>
      <c r="G2800" s="18">
        <f>HYPERLINK("D:\python\英语学习\voices\"&amp;B2800&amp;"_1.mp3","BrE")</f>
        <v/>
      </c>
      <c r="H2800" s="18">
        <f>HYPERLINK("D:\python\英语学习\voices\"&amp;B2800&amp;"_2.mp3","AmE")</f>
        <v/>
      </c>
      <c r="I2800" s="18">
        <f>HYPERLINK("http://dict.youdao.com/w/"&amp;B2800,"有道")</f>
        <v/>
      </c>
    </row>
    <row r="2801">
      <c r="B2801" s="1" t="inlineStr">
        <is>
          <t>clandestine</t>
        </is>
      </c>
      <c r="C2801" s="7">
        <f>"adj. 秘密的，私下的；偷偷摸摸的"</f>
        <v/>
      </c>
      <c r="G2801" s="18">
        <f>HYPERLINK("D:\python\英语学习\voices\"&amp;B2801&amp;"_1.mp3","BrE")</f>
        <v/>
      </c>
      <c r="H2801" s="18">
        <f>HYPERLINK("D:\python\英语学习\voices\"&amp;B2801&amp;"_2.mp3","AmE")</f>
        <v/>
      </c>
      <c r="I2801" s="18">
        <f>HYPERLINK("http://dict.youdao.com/w/"&amp;B2801,"有道")</f>
        <v/>
      </c>
    </row>
    <row r="2802">
      <c r="B2802" s="1" t="inlineStr">
        <is>
          <t>clandestinely</t>
        </is>
      </c>
      <c r="C2802" s="7">
        <f>"adv. 秘密地；暗中地"</f>
        <v/>
      </c>
      <c r="G2802" s="18">
        <f>HYPERLINK("D:\python\英语学习\voices\"&amp;B2802&amp;"_1.mp3","BrE")</f>
        <v/>
      </c>
      <c r="H2802" s="18">
        <f>HYPERLINK("D:\python\英语学习\voices\"&amp;B2802&amp;"_2.mp3","AmE")</f>
        <v/>
      </c>
      <c r="I2802" s="18">
        <f>HYPERLINK("http://dict.youdao.com/w/"&amp;B2802,"有道")</f>
        <v/>
      </c>
    </row>
    <row customHeight="1" ht="57" r="2803">
      <c r="B2803" s="1" t="inlineStr">
        <is>
          <t>bleat</t>
        </is>
      </c>
      <c r="C2803" s="7">
        <f>"v. （羊）咩咩叫，牛（哞哞叫）；低声说话；抱怨"&amp;CHAR(10)&amp;"n. （羊的）咩咩声，（小牛的）哞声；（人）微弱的叫声；（非正式）抱怨"</f>
        <v/>
      </c>
      <c r="G2803" s="18">
        <f>HYPERLINK("D:\python\英语学习\voices\"&amp;B2803&amp;"_1.mp3","BrE")</f>
        <v/>
      </c>
      <c r="H2803" s="18">
        <f>HYPERLINK("D:\python\英语学习\voices\"&amp;B2803&amp;"_2.mp3","AmE")</f>
        <v/>
      </c>
      <c r="I2803" s="18">
        <f>HYPERLINK("http://dict.youdao.com/w/"&amp;B2803,"有道")</f>
        <v/>
      </c>
    </row>
    <row customHeight="1" ht="57" r="2804">
      <c r="B2804" s="1" t="inlineStr">
        <is>
          <t>bleating</t>
        </is>
      </c>
      <c r="C2804" s="7">
        <f>"v. （羊）咩咩叫，牛（哞哞叫）；低声说话；抱怨"&amp;CHAR(10)&amp;"n. （羊的）咩咩声，（小牛的）哞声；（人）微弱的叫声；（非正式）抱怨"</f>
        <v/>
      </c>
      <c r="G2804" s="18">
        <f>HYPERLINK("D:\python\英语学习\voices\"&amp;B2804&amp;"_1.mp3","BrE")</f>
        <v/>
      </c>
      <c r="H2804" s="18">
        <f>HYPERLINK("D:\python\英语学习\voices\"&amp;B2804&amp;"_2.mp3","AmE")</f>
        <v/>
      </c>
      <c r="I2804" s="18">
        <f>HYPERLINK("http://dict.youdao.com/w/"&amp;B2804,"有道")</f>
        <v/>
      </c>
    </row>
    <row customHeight="1" ht="42.75" r="2805">
      <c r="B2805" s="1" t="inlineStr">
        <is>
          <t>borne</t>
        </is>
      </c>
      <c r="C2805" s="7">
        <f>"v. 忍受；负荷；结果实；生子女（bear的过去分词）"&amp;CHAR(10)&amp;"n. (Borne)人名；(德、西、法)博尔内"</f>
        <v/>
      </c>
      <c r="G2805" s="18">
        <f>HYPERLINK("D:\python\英语学习\voices\"&amp;B2805&amp;"_1.mp3","BrE")</f>
        <v/>
      </c>
      <c r="H2805" s="18">
        <f>HYPERLINK("D:\python\英语学习\voices\"&amp;B2805&amp;"_2.mp3","AmE")</f>
        <v/>
      </c>
      <c r="I2805" s="18">
        <f>HYPERLINK("http://dict.youdao.com/w/"&amp;B2805,"有道")</f>
        <v/>
      </c>
    </row>
    <row r="2806">
      <c r="A2806" s="1" t="inlineStr">
        <is>
          <t>unnecessary</t>
        </is>
      </c>
      <c r="B2806" s="1" t="inlineStr">
        <is>
          <t>refuted</t>
        </is>
      </c>
      <c r="C2806" s="7">
        <f>"vt. 反驳，驳斥；驳倒"</f>
        <v/>
      </c>
      <c r="E2806" s="6" t="inlineStr">
        <is>
          <t>没有形容词的词性，只是驳斥的过去分词
给unnecessary是因为没有形容词性，所以是refute</t>
        </is>
      </c>
      <c r="G2806" s="18">
        <f>HYPERLINK("D:\python\英语学习\voices\"&amp;B2806&amp;"_1.mp3","BrE")</f>
        <v/>
      </c>
      <c r="H2806" s="18">
        <f>HYPERLINK("D:\python\英语学习\voices\"&amp;B2806&amp;"_2.mp3","AmE")</f>
        <v/>
      </c>
      <c r="I2806" s="18">
        <f>HYPERLINK("http://dict.youdao.com/w/"&amp;B2806,"有道")</f>
        <v/>
      </c>
    </row>
    <row r="2807">
      <c r="B2807" s="1" t="inlineStr">
        <is>
          <t>polysyllabic</t>
        </is>
      </c>
      <c r="C2807" s="7">
        <f>"adj. 多音节的"</f>
        <v/>
      </c>
      <c r="G2807" s="18">
        <f>HYPERLINK("D:\python\英语学习\voices\"&amp;B2807&amp;"_1.mp3","BrE")</f>
        <v/>
      </c>
      <c r="H2807" s="18">
        <f>HYPERLINK("D:\python\英语学习\voices\"&amp;B2807&amp;"_2.mp3","AmE")</f>
        <v/>
      </c>
      <c r="I2807" s="18">
        <f>HYPERLINK("http://dict.youdao.com/w/"&amp;B2807,"有道")</f>
        <v/>
      </c>
    </row>
    <row customHeight="1" ht="28.5" r="2808">
      <c r="A2808" s="1" t="inlineStr">
        <is>
          <t>practice</t>
        </is>
      </c>
      <c r="B2808" s="1" t="inlineStr">
        <is>
          <t>upbringing</t>
        </is>
      </c>
      <c r="C2808" s="7">
        <f>"n. 教养；养育；抚育"</f>
        <v/>
      </c>
      <c r="G2808" s="18">
        <f>HYPERLINK("D:\python\英语学习\voices\"&amp;B2808&amp;"_1.mp3","BrE")</f>
        <v/>
      </c>
      <c r="H2808" s="18">
        <f>HYPERLINK("D:\python\英语学习\voices\"&amp;B2808&amp;"_2.mp3","AmE")</f>
        <v/>
      </c>
      <c r="I2808" s="18">
        <f>HYPERLINK("http://dict.youdao.com/w/"&amp;B2808,"有道")</f>
        <v/>
      </c>
    </row>
    <row r="2809">
      <c r="B2809" s="1" t="inlineStr">
        <is>
          <t>orator</t>
        </is>
      </c>
      <c r="C2809" s="7">
        <f>"n. 演说者；演讲者；雄辩家；原告"</f>
        <v/>
      </c>
      <c r="G2809" s="18">
        <f>HYPERLINK("D:\python\英语学习\voices\"&amp;B2809&amp;"_1.mp3","BrE")</f>
        <v/>
      </c>
      <c r="H2809" s="18">
        <f>HYPERLINK("D:\python\英语学习\voices\"&amp;B2809&amp;"_2.mp3","AmE")</f>
        <v/>
      </c>
      <c r="I2809" s="18">
        <f>HYPERLINK("http://dict.youdao.com/w/"&amp;B2809,"有道")</f>
        <v/>
      </c>
    </row>
    <row customHeight="1" ht="42.75" r="2810">
      <c r="A2810" s="1" t="inlineStr">
        <is>
          <t>practice</t>
        </is>
      </c>
      <c r="B2810" s="1" t="inlineStr">
        <is>
          <t>sanctuary</t>
        </is>
      </c>
      <c r="C2810" s="7">
        <f>"n. 避难所；至圣所；耶路撒冷的神殿"</f>
        <v/>
      </c>
      <c r="G2810" s="18">
        <f>HYPERLINK("D:\python\英语学习\voices\"&amp;B2810&amp;"_1.mp3","BrE")</f>
        <v/>
      </c>
      <c r="H2810" s="18">
        <f>HYPERLINK("D:\python\英语学习\voices\"&amp;B2810&amp;"_2.mp3","AmE")</f>
        <v/>
      </c>
      <c r="I2810" s="18">
        <f>HYPERLINK("http://dict.youdao.com/w/"&amp;B2810,"有道")</f>
        <v/>
      </c>
    </row>
    <row r="2811">
      <c r="B2811" s="1" t="inlineStr">
        <is>
          <t>dictatorship</t>
        </is>
      </c>
      <c r="C2811" s="7">
        <f>"n. 专政；独裁权；独裁者职位"</f>
        <v/>
      </c>
      <c r="G2811" s="18">
        <f>HYPERLINK("D:\python\英语学习\voices\"&amp;B2811&amp;"_1.mp3","BrE")</f>
        <v/>
      </c>
      <c r="H2811" s="18">
        <f>HYPERLINK("D:\python\英语学习\voices\"&amp;B2811&amp;"_2.mp3","AmE")</f>
        <v/>
      </c>
      <c r="I2811" s="18">
        <f>HYPERLINK("http://dict.youdao.com/w/"&amp;B2811,"有道")</f>
        <v/>
      </c>
    </row>
    <row r="2812">
      <c r="B2812" s="1" t="inlineStr">
        <is>
          <t>senile</t>
        </is>
      </c>
      <c r="C2812" s="7">
        <f>"adj. 高龄的；老衰的；高龄所致的"</f>
        <v/>
      </c>
      <c r="G2812" s="18">
        <f>HYPERLINK("D:\python\英语学习\voices\"&amp;B2812&amp;"_1.mp3","BrE")</f>
        <v/>
      </c>
      <c r="H2812" s="18">
        <f>HYPERLINK("D:\python\英语学习\voices\"&amp;B2812&amp;"_2.mp3","AmE")</f>
        <v/>
      </c>
      <c r="I2812" s="18">
        <f>HYPERLINK("http://dict.youdao.com/w/"&amp;B2812,"有道")</f>
        <v/>
      </c>
    </row>
    <row customHeight="1" ht="29.1" r="2813">
      <c r="B2813" s="1" t="inlineStr">
        <is>
          <t>venomous</t>
        </is>
      </c>
      <c r="C2813" s="7">
        <f>"adj. 有毒的；恶毒的；分泌毒液的；怨恨的"</f>
        <v/>
      </c>
      <c r="G2813" s="18">
        <f>HYPERLINK("D:\python\英语学习\voices\"&amp;B2813&amp;"_1.mp3","BrE")</f>
        <v/>
      </c>
      <c r="H2813" s="18">
        <f>HYPERLINK("D:\python\英语学习\voices\"&amp;B2813&amp;"_2.mp3","AmE")</f>
        <v/>
      </c>
      <c r="I2813" s="18">
        <f>HYPERLINK("http://dict.youdao.com/w/"&amp;B2813,"有道")</f>
        <v/>
      </c>
    </row>
    <row customHeight="1" ht="28.5" r="2814">
      <c r="B2814" s="1" t="inlineStr">
        <is>
          <t>aureole</t>
        </is>
      </c>
      <c r="C2814" s="7">
        <f>"n. 光环；光轮；晕（等于aureola）"&amp;CHAR(10)&amp;"vt. 以光圈围绕"</f>
        <v/>
      </c>
      <c r="G2814" s="18">
        <f>HYPERLINK("D:\python\英语学习\voices\"&amp;B2814&amp;"_1.mp3","BrE")</f>
        <v/>
      </c>
      <c r="H2814" s="18">
        <f>HYPERLINK("D:\python\英语学习\voices\"&amp;B2814&amp;"_2.mp3","AmE")</f>
        <v/>
      </c>
      <c r="I2814" s="18">
        <f>HYPERLINK("http://dict.youdao.com/w/"&amp;B2814,"有道")</f>
        <v/>
      </c>
    </row>
    <row r="2815">
      <c r="B2815" s="1" t="inlineStr">
        <is>
          <t>goatee</t>
        </is>
      </c>
      <c r="C2815" s="7">
        <f>"n. 山羊胡子"</f>
        <v/>
      </c>
      <c r="G2815" s="18">
        <f>HYPERLINK("D:\python\英语学习\voices\"&amp;B2815&amp;"_1.mp3","BrE")</f>
        <v/>
      </c>
      <c r="H2815" s="18">
        <f>HYPERLINK("D:\python\英语学习\voices\"&amp;B2815&amp;"_2.mp3","AmE")</f>
        <v/>
      </c>
      <c r="I2815" s="18">
        <f>HYPERLINK("http://dict.youdao.com/w/"&amp;B2815,"有道")</f>
        <v/>
      </c>
    </row>
    <row r="2816">
      <c r="B2816" s="1" t="inlineStr">
        <is>
          <t>despicable</t>
        </is>
      </c>
      <c r="C2816" s="7">
        <f>"adj. 卑劣的；可鄙的"</f>
        <v/>
      </c>
      <c r="G2816" s="18">
        <f>HYPERLINK("D:\python\英语学习\voices\"&amp;B2816&amp;"_1.mp3","BrE")</f>
        <v/>
      </c>
      <c r="H2816" s="18">
        <f>HYPERLINK("D:\python\英语学习\voices\"&amp;B2816&amp;"_2.mp3","AmE")</f>
        <v/>
      </c>
      <c r="I2816" s="18">
        <f>HYPERLINK("http://dict.youdao.com/w/"&amp;B2816,"有道")</f>
        <v/>
      </c>
    </row>
    <row r="2817">
      <c r="B2817" s="1" t="inlineStr">
        <is>
          <t>paymaster</t>
        </is>
      </c>
      <c r="C2817" s="7">
        <f>"n. 工薪出纳员；发薪人员"</f>
        <v/>
      </c>
      <c r="G2817" s="18">
        <f>HYPERLINK("D:\python\英语学习\voices\"&amp;B2817&amp;"_1.mp3","BrE")</f>
        <v/>
      </c>
      <c r="H2817" s="18">
        <f>HYPERLINK("D:\python\英语学习\voices\"&amp;B2817&amp;"_2.mp3","AmE")</f>
        <v/>
      </c>
      <c r="I2817" s="18">
        <f>HYPERLINK("http://dict.youdao.com/w/"&amp;B2817,"有道")</f>
        <v/>
      </c>
    </row>
    <row r="2818">
      <c r="B2818" s="1" t="inlineStr">
        <is>
          <t>diaphragm</t>
        </is>
      </c>
      <c r="C2818" s="7">
        <f>"n. 隔膜；快门，[摄] 光圈；横隔膜；隔板"</f>
        <v/>
      </c>
      <c r="G2818" s="18">
        <f>HYPERLINK("D:\python\英语学习\voices\"&amp;B2818&amp;"_1.mp3","BrE")</f>
        <v/>
      </c>
      <c r="H2818" s="18">
        <f>HYPERLINK("D:\python\英语学习\voices\"&amp;B2818&amp;"_2.mp3","AmE")</f>
        <v/>
      </c>
      <c r="I2818" s="18">
        <f>HYPERLINK("http://dict.youdao.com/w/"&amp;B2818,"有道")</f>
        <v/>
      </c>
    </row>
    <row customHeight="1" ht="28.5" r="2819">
      <c r="B2819" s="1" t="inlineStr">
        <is>
          <t>constricted</t>
        </is>
      </c>
      <c r="C2819" s="7">
        <f>"adj. 收缩的；狭隘的；受限制的"&amp;CHAR(10)&amp;"v. 使…收缩；抑制（constrict的过去分词）"</f>
        <v/>
      </c>
      <c r="G2819" s="18">
        <f>HYPERLINK("D:\python\英语学习\voices\"&amp;B2819&amp;"_1.mp3","BrE")</f>
        <v/>
      </c>
      <c r="H2819" s="18">
        <f>HYPERLINK("D:\python\英语学习\voices\"&amp;B2819&amp;"_2.mp3","AmE")</f>
        <v/>
      </c>
      <c r="I2819" s="18">
        <f>HYPERLINK("http://dict.youdao.com/w/"&amp;B2819,"有道")</f>
        <v/>
      </c>
    </row>
    <row customHeight="1" ht="85.5" r="2820">
      <c r="B2820" s="1" t="inlineStr">
        <is>
          <t>lean</t>
        </is>
      </c>
      <c r="C2820" s="7">
        <f>"v. 倾斜身体；倾斜；倚靠；（使）斜靠"&amp;CHAR(10)&amp;"adj. 瘦且健康的；脂肪少的；难以赚钱的；贫乏的；高效低耗的；（混合汽化燃料）空气所占比例高的"&amp;CHAR(10)&amp;"n. 瘦肉；倾斜；倾斜度"&amp;CHAR(10)&amp;"n. (Lean) （丹）利恩（人名）"</f>
        <v/>
      </c>
      <c r="G2820" s="18">
        <f>HYPERLINK("D:\python\英语学习\voices\"&amp;B2820&amp;"_1.mp3","BrE")</f>
        <v/>
      </c>
      <c r="H2820" s="18">
        <f>HYPERLINK("D:\python\英语学习\voices\"&amp;B2820&amp;"_2.mp3","AmE")</f>
        <v/>
      </c>
      <c r="I2820" s="18">
        <f>HYPERLINK("http://dict.youdao.com/w/"&amp;B2820,"有道")</f>
        <v/>
      </c>
    </row>
    <row customHeight="1" ht="42.75" r="2821">
      <c r="B2821" s="1" t="inlineStr">
        <is>
          <t>primal</t>
        </is>
      </c>
      <c r="C2821" s="7">
        <f>"adj. 原始的；主要的；最初的"&amp;CHAR(10)&amp;"n. 被压抑童年情绪的释放"&amp;CHAR(10)&amp;"vt. 释放（被压抑的童年情绪）"</f>
        <v/>
      </c>
      <c r="G2821" s="18">
        <f>HYPERLINK("D:\python\英语学习\voices\"&amp;B2821&amp;"_1.mp3","BrE")</f>
        <v/>
      </c>
      <c r="H2821" s="18">
        <f>HYPERLINK("D:\python\英语学习\voices\"&amp;B2821&amp;"_2.mp3","AmE")</f>
        <v/>
      </c>
      <c r="I2821" s="18">
        <f>HYPERLINK("http://dict.youdao.com/w/"&amp;B2821,"有道")</f>
        <v/>
      </c>
    </row>
    <row r="2822">
      <c r="B2822" s="1" t="inlineStr">
        <is>
          <t>defiler</t>
        </is>
      </c>
      <c r="C2822" s="7">
        <f>"n. 亵渎者；玷污者；蝎子"</f>
        <v/>
      </c>
      <c r="G2822" s="18">
        <f>HYPERLINK("D:\python\英语学习\voices\"&amp;B2822&amp;"_1.mp3","BrE")</f>
        <v/>
      </c>
      <c r="H2822" s="18">
        <f>HYPERLINK("D:\python\英语学习\voices\"&amp;B2822&amp;"_2.mp3","AmE")</f>
        <v/>
      </c>
      <c r="I2822" s="18">
        <f>HYPERLINK("http://dict.youdao.com/w/"&amp;B2822,"有道")</f>
        <v/>
      </c>
    </row>
    <row r="2823">
      <c r="B2823" s="1" t="inlineStr">
        <is>
          <t>heresy</t>
        </is>
      </c>
      <c r="C2823" s="7">
        <f>"n. 异端；异端邪说；异教"</f>
        <v/>
      </c>
      <c r="G2823" s="18">
        <f>HYPERLINK("D:\python\英语学习\voices\"&amp;B2823&amp;"_1.mp3","BrE")</f>
        <v/>
      </c>
      <c r="H2823" s="18">
        <f>HYPERLINK("D:\python\英语学习\voices\"&amp;B2823&amp;"_2.mp3","AmE")</f>
        <v/>
      </c>
      <c r="I2823" s="18">
        <f>HYPERLINK("http://dict.youdao.com/w/"&amp;B2823,"有道")</f>
        <v/>
      </c>
    </row>
    <row customHeight="1" ht="42.75" r="2824">
      <c r="B2824" s="1" t="inlineStr">
        <is>
          <t>squeak</t>
        </is>
      </c>
      <c r="C2824" s="7">
        <f>"vi. 告密；吱吱叫；侥幸成功"&amp;CHAR(10)&amp;"n. 吱吱声；机会"&amp;CHAR(10)&amp;"vt. 以短促尖声发出"</f>
        <v/>
      </c>
      <c r="G2824" s="18">
        <f>HYPERLINK("D:\python\英语学习\voices\"&amp;B2824&amp;"_1.mp3","BrE")</f>
        <v/>
      </c>
      <c r="H2824" s="18">
        <f>HYPERLINK("D:\python\英语学习\voices\"&amp;B2824&amp;"_2.mp3","AmE")</f>
        <v/>
      </c>
      <c r="I2824" s="18">
        <f>HYPERLINK("http://dict.youdao.com/w/"&amp;B2824,"有道")</f>
        <v/>
      </c>
    </row>
    <row customHeight="1" ht="42.75" r="2825">
      <c r="B2825" s="1" t="inlineStr">
        <is>
          <t>renegade</t>
        </is>
      </c>
      <c r="C2825" s="7">
        <f>"n. 叛徒；变节者；脱党者"&amp;CHAR(10)&amp;"vi. 背叛；脱离"&amp;CHAR(10)&amp;"adj. 叛徒的；背弃的；脱离的"</f>
        <v/>
      </c>
      <c r="G2825" s="18">
        <f>HYPERLINK("D:\python\英语学习\voices\"&amp;B2825&amp;"_1.mp3","BrE")</f>
        <v/>
      </c>
      <c r="H2825" s="18">
        <f>HYPERLINK("D:\python\英语学习\voices\"&amp;B2825&amp;"_2.mp3","AmE")</f>
        <v/>
      </c>
      <c r="I2825" s="18">
        <f>HYPERLINK("http://dict.youdao.com/w/"&amp;B2825,"有道")</f>
        <v/>
      </c>
    </row>
    <row customHeight="1" ht="28.5" r="2826">
      <c r="B2826" s="1" t="inlineStr">
        <is>
          <t>backslider</t>
        </is>
      </c>
      <c r="C2826" s="7">
        <f>"n. 想改掉坏习惯，但改了一段时间后又恢复老习惯的人"</f>
        <v/>
      </c>
      <c r="G2826" s="18">
        <f>HYPERLINK("D:\python\英语学习\voices\"&amp;B2826&amp;"_1.mp3","BrE")</f>
        <v/>
      </c>
      <c r="H2826" s="18">
        <f>HYPERLINK("D:\python\英语学习\voices\"&amp;B2826&amp;"_2.mp3","AmE")</f>
        <v/>
      </c>
      <c r="I2826" s="18">
        <f>HYPERLINK("http://dict.youdao.com/w/"&amp;B2826,"有道")</f>
        <v/>
      </c>
    </row>
    <row customHeight="1" ht="42.75" r="2827">
      <c r="B2827" s="1" t="inlineStr">
        <is>
          <t>intrigue</t>
        </is>
      </c>
      <c r="C2827" s="7">
        <f>"n. 阴谋；诡计；复杂的事；私通"&amp;CHAR(10)&amp;"vt. 用诡计取得；激起...的兴趣"&amp;CHAR(10)&amp;"vi. 私通；密谋"</f>
        <v/>
      </c>
      <c r="G2827" s="18">
        <f>HYPERLINK("D:\python\英语学习\voices\"&amp;B2827&amp;"_1.mp3","BrE")</f>
        <v/>
      </c>
      <c r="H2827" s="18">
        <f>HYPERLINK("D:\python\英语学习\voices\"&amp;B2827&amp;"_2.mp3","AmE")</f>
        <v/>
      </c>
      <c r="I2827" s="18">
        <f>HYPERLINK("http://dict.youdao.com/w/"&amp;B2827,"有道")</f>
        <v/>
      </c>
    </row>
    <row r="2828">
      <c r="B2828" s="1" t="inlineStr">
        <is>
          <t>urbane</t>
        </is>
      </c>
      <c r="C2828" s="7">
        <f>"adj. 彬彬有礼的，温文尔雅的；都市化的"</f>
        <v/>
      </c>
      <c r="G2828" s="18">
        <f>HYPERLINK("D:\python\英语学习\voices\"&amp;B2828&amp;"_1.mp3","BrE")</f>
        <v/>
      </c>
      <c r="H2828" s="18">
        <f>HYPERLINK("D:\python\英语学习\voices\"&amp;B2828&amp;"_2.mp3","AmE")</f>
        <v/>
      </c>
      <c r="I2828" s="18">
        <f>HYPERLINK("http://dict.youdao.com/w/"&amp;B2828,"有道")</f>
        <v/>
      </c>
    </row>
    <row customHeight="1" ht="42.75" r="2829">
      <c r="B2829" s="1" t="inlineStr">
        <is>
          <t>bane</t>
        </is>
      </c>
      <c r="C2829" s="7">
        <f>"n. 毒药；祸害；灭亡的原因"&amp;CHAR(10)&amp;"n. (Bane)人名；(法)巴纳；(塞)巴内；(日)伴卫(名)；(英)贝恩"</f>
        <v/>
      </c>
      <c r="G2829" s="18">
        <f>HYPERLINK("D:\python\英语学习\voices\"&amp;B2829&amp;"_1.mp3","BrE")</f>
        <v/>
      </c>
      <c r="H2829" s="18">
        <f>HYPERLINK("D:\python\英语学习\voices\"&amp;B2829&amp;"_2.mp3","AmE")</f>
        <v/>
      </c>
      <c r="I2829" s="18">
        <f>HYPERLINK("http://dict.youdao.com/w/"&amp;B2829,"有道")</f>
        <v/>
      </c>
    </row>
    <row r="2830">
      <c r="B2830" s="1" t="inlineStr">
        <is>
          <t>physique</t>
        </is>
      </c>
      <c r="C2830" s="7">
        <f>"n. 体格，体形"</f>
        <v/>
      </c>
      <c r="G2830" s="18">
        <f>HYPERLINK("D:\python\英语学习\voices\"&amp;B2830&amp;"_1.mp3","BrE")</f>
        <v/>
      </c>
      <c r="H2830" s="18">
        <f>HYPERLINK("D:\python\英语学习\voices\"&amp;B2830&amp;"_2.mp3","AmE")</f>
        <v/>
      </c>
      <c r="I2830" s="18">
        <f>HYPERLINK("http://dict.youdao.com/w/"&amp;B2830,"有道")</f>
        <v/>
      </c>
    </row>
    <row r="2831">
      <c r="B2831" s="1" t="inlineStr">
        <is>
          <t>cubicle</t>
        </is>
      </c>
      <c r="C2831" s="7">
        <f>"n. 小卧室；小隔间"</f>
        <v/>
      </c>
      <c r="G2831" s="18">
        <f>HYPERLINK("D:\python\英语学习\voices\"&amp;B2831&amp;"_1.mp3","BrE")</f>
        <v/>
      </c>
      <c r="H2831" s="18">
        <f>HYPERLINK("D:\python\英语学习\voices\"&amp;B2831&amp;"_2.mp3","AmE")</f>
        <v/>
      </c>
      <c r="I2831" s="18">
        <f>HYPERLINK("http://dict.youdao.com/w/"&amp;B2831,"有道")</f>
        <v/>
      </c>
    </row>
    <row r="2832">
      <c r="B2832" s="1" t="inlineStr">
        <is>
          <t>snuffbox</t>
        </is>
      </c>
      <c r="C2832" s="7">
        <f>"n. 鼻烟盒"</f>
        <v/>
      </c>
      <c r="G2832" s="18">
        <f>HYPERLINK("D:\python\英语学习\voices\"&amp;B2832&amp;"_1.mp3","BrE")</f>
        <v/>
      </c>
      <c r="H2832" s="18">
        <f>HYPERLINK("D:\python\英语学习\voices\"&amp;B2832&amp;"_2.mp3","AmE")</f>
        <v/>
      </c>
      <c r="I2832" s="18">
        <f>HYPERLINK("http://dict.youdao.com/w/"&amp;B2832,"有道")</f>
        <v/>
      </c>
    </row>
    <row customHeight="1" ht="28.5" r="2833">
      <c r="B2833" s="1" t="inlineStr">
        <is>
          <t>sidelong</t>
        </is>
      </c>
      <c r="C2833" s="7">
        <f>"adj. 斜着眼看的；向旁边的；侧面的"&amp;CHAR(10)&amp;"adv. 在一侧；向旁边地"</f>
        <v/>
      </c>
      <c r="G2833" s="18">
        <f>HYPERLINK("D:\python\英语学习\voices\"&amp;B2833&amp;"_1.mp3","BrE")</f>
        <v/>
      </c>
      <c r="H2833" s="18">
        <f>HYPERLINK("D:\python\英语学习\voices\"&amp;B2833&amp;"_2.mp3","AmE")</f>
        <v/>
      </c>
      <c r="I2833" s="18">
        <f>HYPERLINK("http://dict.youdao.com/w/"&amp;B2833,"有道")</f>
        <v/>
      </c>
    </row>
    <row r="2834">
      <c r="B2834" s="1" t="inlineStr">
        <is>
          <t>burly</t>
        </is>
      </c>
      <c r="C2834" s="7">
        <f>"adj. 结实的；率直的；粗鲁的"</f>
        <v/>
      </c>
      <c r="G2834" s="18">
        <f>HYPERLINK("D:\python\英语学习\voices\"&amp;B2834&amp;"_1.mp3","BrE")</f>
        <v/>
      </c>
      <c r="H2834" s="18">
        <f>HYPERLINK("D:\python\英语学习\voices\"&amp;B2834&amp;"_2.mp3","AmE")</f>
        <v/>
      </c>
      <c r="I2834" s="18">
        <f>HYPERLINK("http://dict.youdao.com/w/"&amp;B2834,"有道")</f>
        <v/>
      </c>
    </row>
    <row r="2835">
      <c r="B2835" s="1" t="inlineStr">
        <is>
          <t>brutal</t>
        </is>
      </c>
      <c r="C2835" s="7">
        <f>"adj. 残忍的；野蛮的，不讲理的"</f>
        <v/>
      </c>
      <c r="G2835" s="18">
        <f>HYPERLINK("D:\python\英语学习\voices\"&amp;B2835&amp;"_1.mp3","BrE")</f>
        <v/>
      </c>
      <c r="H2835" s="18">
        <f>HYPERLINK("D:\python\英语学习\voices\"&amp;B2835&amp;"_2.mp3","AmE")</f>
        <v/>
      </c>
      <c r="I2835" s="18">
        <f>HYPERLINK("http://dict.youdao.com/w/"&amp;B2835,"有道")</f>
        <v/>
      </c>
    </row>
    <row r="2836">
      <c r="B2836" s="1" t="inlineStr">
        <is>
          <t>bigoted</t>
        </is>
      </c>
      <c r="C2836" s="7">
        <f>"adj. 顽固的；心地狭窄的；盲从的"</f>
        <v/>
      </c>
      <c r="G2836" s="18">
        <f>HYPERLINK("D:\python\英语学习\voices\"&amp;B2836&amp;"_1.mp3","BrE")</f>
        <v/>
      </c>
      <c r="H2836" s="18">
        <f>HYPERLINK("D:\python\英语学习\voices\"&amp;B2836&amp;"_2.mp3","AmE")</f>
        <v/>
      </c>
      <c r="I2836" s="18">
        <f>HYPERLINK("http://dict.youdao.com/w/"&amp;B2836,"有道")</f>
        <v/>
      </c>
    </row>
    <row r="2837">
      <c r="B2837" s="1" t="inlineStr">
        <is>
          <t>adherence</t>
        </is>
      </c>
      <c r="C2837" s="7">
        <f>"n. 坚持；依附；忠诚"</f>
        <v/>
      </c>
      <c r="G2837" s="18">
        <f>HYPERLINK("D:\python\英语学习\voices\"&amp;B2837&amp;"_1.mp3","BrE")</f>
        <v/>
      </c>
      <c r="H2837" s="18">
        <f>HYPERLINK("D:\python\英语学习\voices\"&amp;B2837&amp;"_2.mp3","AmE")</f>
        <v/>
      </c>
      <c r="I2837" s="18">
        <f>HYPERLINK("http://dict.youdao.com/w/"&amp;B2837,"有道")</f>
        <v/>
      </c>
    </row>
    <row customHeight="1" ht="28.5" r="2838">
      <c r="B2838" s="1" t="inlineStr">
        <is>
          <t>adherent</t>
        </is>
      </c>
      <c r="C2838" s="7">
        <f>"n. （政党、思想的）拥护者"&amp;CHAR(10)&amp;"adj. 粘着的；遵守的；（植物）联生的"</f>
        <v/>
      </c>
      <c r="G2838" s="18">
        <f>HYPERLINK("D:\python\英语学习\voices\"&amp;B2838&amp;"_1.mp3","BrE")</f>
        <v/>
      </c>
      <c r="H2838" s="18">
        <f>HYPERLINK("D:\python\英语学习\voices\"&amp;B2838&amp;"_2.mp3","AmE")</f>
        <v/>
      </c>
      <c r="I2838" s="18">
        <f>HYPERLINK("http://dict.youdao.com/w/"&amp;B2838,"有道")</f>
        <v/>
      </c>
    </row>
    <row r="2839">
      <c r="B2839" s="1" t="inlineStr">
        <is>
          <t>unorthodoxy</t>
        </is>
      </c>
      <c r="C2839" s="7">
        <f>"n. 非正统；异端邪说"</f>
        <v/>
      </c>
      <c r="G2839" s="18">
        <f>HYPERLINK("D:\python\英语学习\voices\"&amp;B2839&amp;"_1.mp3","BrE")</f>
        <v/>
      </c>
      <c r="H2839" s="18">
        <f>HYPERLINK("D:\python\英语学习\voices\"&amp;B2839&amp;"_2.mp3","AmE")</f>
        <v/>
      </c>
      <c r="I2839" s="18">
        <f>HYPERLINK("http://dict.youdao.com/w/"&amp;B2839,"有道")</f>
        <v/>
      </c>
    </row>
    <row r="2840">
      <c r="B2840" s="1" t="inlineStr">
        <is>
          <t>orthodoxy</t>
        </is>
      </c>
      <c r="C2840" s="7">
        <f>"n. 正统；正教；正统说法"</f>
        <v/>
      </c>
      <c r="G2840" s="18">
        <f>HYPERLINK("D:\python\英语学习\voices\"&amp;B2840&amp;"_1.mp3","BrE")</f>
        <v/>
      </c>
      <c r="H2840" s="18">
        <f>HYPERLINK("D:\python\英语学习\voices\"&amp;B2840&amp;"_2.mp3","AmE")</f>
        <v/>
      </c>
      <c r="I2840" s="18">
        <f>HYPERLINK("http://dict.youdao.com/w/"&amp;B2840,"有道")</f>
        <v/>
      </c>
    </row>
    <row customHeight="1" ht="42.75" r="2841">
      <c r="B2841" s="1" t="inlineStr">
        <is>
          <t>freckle</t>
        </is>
      </c>
      <c r="C2841" s="7">
        <f>"n. 雀斑；斑点"&amp;CHAR(10)&amp;"vt. 使生雀斑"&amp;CHAR(10)&amp;"vi. 生雀斑"</f>
        <v/>
      </c>
      <c r="G2841" s="18">
        <f>HYPERLINK("D:\python\英语学习\voices\"&amp;B2841&amp;"_1.mp3","BrE")</f>
        <v/>
      </c>
      <c r="H2841" s="18">
        <f>HYPERLINK("D:\python\英语学习\voices\"&amp;B2841&amp;"_2.mp3","AmE")</f>
        <v/>
      </c>
      <c r="I2841" s="18">
        <f>HYPERLINK("http://dict.youdao.com/w/"&amp;B2841,"有道")</f>
        <v/>
      </c>
    </row>
    <row customHeight="1" ht="28.5" r="2842">
      <c r="B2842" s="1" t="inlineStr">
        <is>
          <t>sash</t>
        </is>
      </c>
      <c r="C2842" s="7">
        <f>"n. 腰带；肩带；饰带；框格"&amp;CHAR(10)&amp;"vt. 系上腰带；装以窗框"</f>
        <v/>
      </c>
      <c r="G2842" s="18">
        <f>HYPERLINK("D:\python\英语学习\voices\"&amp;B2842&amp;"_1.mp3","BrE")</f>
        <v/>
      </c>
      <c r="H2842" s="18">
        <f>HYPERLINK("D:\python\英语学习\voices\"&amp;B2842&amp;"_2.mp3","AmE")</f>
        <v/>
      </c>
      <c r="I2842" s="18">
        <f>HYPERLINK("http://dict.youdao.com/w/"&amp;B2842,"有道")</f>
        <v/>
      </c>
    </row>
    <row customHeight="1" ht="42.75" r="2843">
      <c r="B2843" s="1" t="inlineStr">
        <is>
          <t>emblem</t>
        </is>
      </c>
      <c r="C2843" s="7">
        <f>"n. 象征；徽章；符号"&amp;CHAR(10)&amp;"vt. 象征；用符号表示；用纹章装饰"&amp;CHAR(10)&amp;"n. (Emblem)人名；(英)恩布勒姆"</f>
        <v/>
      </c>
      <c r="G2843" s="18">
        <f>HYPERLINK("D:\python\英语学习\voices\"&amp;B2843&amp;"_1.mp3","BrE")</f>
        <v/>
      </c>
      <c r="H2843" s="18">
        <f>HYPERLINK("D:\python\英语学习\voices\"&amp;B2843&amp;"_2.mp3","AmE")</f>
        <v/>
      </c>
      <c r="I2843" s="18">
        <f>HYPERLINK("http://dict.youdao.com/w/"&amp;B2843,"有道")</f>
        <v/>
      </c>
    </row>
    <row r="2844">
      <c r="B2844" s="1" t="inlineStr">
        <is>
          <t>shapeliness</t>
        </is>
      </c>
      <c r="C2844" s="7">
        <f>"n. 象样子；形状好"</f>
        <v/>
      </c>
      <c r="G2844" s="18">
        <f>HYPERLINK("D:\python\英语学习\voices\"&amp;B2844&amp;"_1.mp3","BrE")</f>
        <v/>
      </c>
      <c r="H2844" s="18">
        <f>HYPERLINK("D:\python\英语学习\voices\"&amp;B2844&amp;"_2.mp3","AmE")</f>
        <v/>
      </c>
      <c r="I2844" s="18">
        <f>HYPERLINK("http://dict.youdao.com/w/"&amp;B2844,"有道")</f>
        <v/>
      </c>
    </row>
    <row customHeight="1" ht="42.75" r="2845">
      <c r="B2845" s="1" t="inlineStr">
        <is>
          <t>spanner</t>
        </is>
      </c>
      <c r="C2845" s="7">
        <f>"n. 扳手；螺丝扳手；测量器；用手掌量的人"&amp;CHAR(10)&amp;"n. (Spanner)人名；(德)施潘纳；(瑞典)斯潘纳；(英)斯潘纳"</f>
        <v/>
      </c>
      <c r="G2845" s="18">
        <f>HYPERLINK("D:\python\英语学习\voices\"&amp;B2845&amp;"_1.mp3","BrE")</f>
        <v/>
      </c>
      <c r="H2845" s="18">
        <f>HYPERLINK("D:\python\英语学习\voices\"&amp;B2845&amp;"_2.mp3","AmE")</f>
        <v/>
      </c>
      <c r="I2845" s="18">
        <f>HYPERLINK("http://dict.youdao.com/w/"&amp;B2845,"有道")</f>
        <v/>
      </c>
    </row>
    <row customHeight="1" ht="42.75" r="2846">
      <c r="B2846" s="1" t="inlineStr">
        <is>
          <t>wallow</t>
        </is>
      </c>
      <c r="C2846" s="7">
        <f>"vi. 打滚；沉迷；颠簸"&amp;CHAR(10)&amp;"n. 打滚；堕落；泥坑"&amp;CHAR(10)&amp;"n. (Wallow)人名；(德)瓦洛"</f>
        <v/>
      </c>
      <c r="G2846" s="18">
        <f>HYPERLINK("D:\python\英语学习\voices\"&amp;B2846&amp;"_1.mp3","BrE")</f>
        <v/>
      </c>
      <c r="H2846" s="18">
        <f>HYPERLINK("D:\python\英语学习\voices\"&amp;B2846&amp;"_2.mp3","AmE")</f>
        <v/>
      </c>
      <c r="I2846" s="18">
        <f>HYPERLINK("http://dict.youdao.com/w/"&amp;B2846,"有道")</f>
        <v/>
      </c>
    </row>
    <row r="2847">
      <c r="B2847" s="1" t="inlineStr">
        <is>
          <t>porpoise</t>
        </is>
      </c>
      <c r="C2847" s="7">
        <f>"n. 海豚；鼠海豚"</f>
        <v/>
      </c>
      <c r="G2847" s="18">
        <f>HYPERLINK("D:\python\英语学习\voices\"&amp;B2847&amp;"_1.mp3","BrE")</f>
        <v/>
      </c>
      <c r="H2847" s="18">
        <f>HYPERLINK("D:\python\英语学习\voices\"&amp;B2847&amp;"_2.mp3","AmE")</f>
        <v/>
      </c>
      <c r="I2847" s="18">
        <f>HYPERLINK("http://dict.youdao.com/w/"&amp;B2847,"有道")</f>
        <v/>
      </c>
    </row>
    <row r="2848">
      <c r="B2848" s="1" t="inlineStr">
        <is>
          <t>matchwood</t>
        </is>
      </c>
      <c r="C2848" s="7">
        <f>"n. 碎片；做火柴杆的木料"</f>
        <v/>
      </c>
      <c r="G2848" s="18">
        <f>HYPERLINK("D:\python\英语学习\voices\"&amp;B2848&amp;"_1.mp3","BrE")</f>
        <v/>
      </c>
      <c r="H2848" s="18">
        <f>HYPERLINK("D:\python\英语学习\voices\"&amp;B2848&amp;"_2.mp3","AmE")</f>
        <v/>
      </c>
      <c r="I2848" s="18">
        <f>HYPERLINK("http://dict.youdao.com/w/"&amp;B2848,"有道")</f>
        <v/>
      </c>
    </row>
    <row customHeight="1" ht="42.75" r="2849">
      <c r="B2849" s="1" t="inlineStr">
        <is>
          <t>prole</t>
        </is>
      </c>
      <c r="C2849" s="7">
        <f>"n. 无产者，普罗阶级"&amp;CHAR(10)&amp;"adj. 无产阶级的"&amp;CHAR(10)&amp;"n. (Prole)人名；(塞)普罗莱"</f>
        <v/>
      </c>
      <c r="G2849" s="18">
        <f>HYPERLINK("D:\python\英语学习\voices\"&amp;B2849&amp;"_1.mp3","BrE")</f>
        <v/>
      </c>
      <c r="H2849" s="18">
        <f>HYPERLINK("D:\python\英语学习\voices\"&amp;B2849&amp;"_2.mp3","AmE")</f>
        <v/>
      </c>
      <c r="I2849" s="18">
        <f>HYPERLINK("http://dict.youdao.com/w/"&amp;B2849,"有道")</f>
        <v/>
      </c>
    </row>
    <row r="2850">
      <c r="B2850" s="1" t="inlineStr">
        <is>
          <t>interminable</t>
        </is>
      </c>
      <c r="C2850" s="7">
        <f>"adj. 冗长的；无止尽的"</f>
        <v/>
      </c>
      <c r="G2850" s="18">
        <f>HYPERLINK("D:\python\英语学习\voices\"&amp;B2850&amp;"_1.mp3","BrE")</f>
        <v/>
      </c>
      <c r="H2850" s="18">
        <f>HYPERLINK("D:\python\英语学习\voices\"&amp;B2850&amp;"_2.mp3","AmE")</f>
        <v/>
      </c>
      <c r="I2850" s="18">
        <f>HYPERLINK("http://dict.youdao.com/w/"&amp;B2850,"有道")</f>
        <v/>
      </c>
    </row>
    <row r="2851">
      <c r="B2851" s="1" t="inlineStr">
        <is>
          <t>monologue</t>
        </is>
      </c>
      <c r="C2851" s="7">
        <f>"n. 独白"</f>
        <v/>
      </c>
      <c r="G2851" s="18">
        <f>HYPERLINK("D:\python\英语学习\voices\"&amp;B2851&amp;"_1.mp3","BrE")</f>
        <v/>
      </c>
      <c r="H2851" s="18">
        <f>HYPERLINK("D:\python\英语学习\voices\"&amp;B2851&amp;"_2.mp3","AmE")</f>
        <v/>
      </c>
      <c r="I2851" s="18">
        <f>HYPERLINK("http://dict.youdao.com/w/"&amp;B2851,"有道")</f>
        <v/>
      </c>
    </row>
    <row customHeight="1" ht="28.5" r="2852">
      <c r="B2852" s="1" t="inlineStr">
        <is>
          <t>strident</t>
        </is>
      </c>
      <c r="C2852" s="7">
        <f>"adj. 刺耳的；尖锐的；吱吱尖叫的；轧轧作响的"</f>
        <v/>
      </c>
      <c r="G2852" s="18">
        <f>HYPERLINK("D:\python\英语学习\voices\"&amp;B2852&amp;"_1.mp3","BrE")</f>
        <v/>
      </c>
      <c r="H2852" s="18">
        <f>HYPERLINK("D:\python\英语学习\voices\"&amp;B2852&amp;"_2.mp3","AmE")</f>
        <v/>
      </c>
      <c r="I2852" s="18">
        <f>HYPERLINK("http://dict.youdao.com/w/"&amp;B2852,"有道")</f>
        <v/>
      </c>
    </row>
    <row customHeight="1" ht="28.5" r="2853">
      <c r="B2853" s="1" t="inlineStr">
        <is>
          <t>procured</t>
        </is>
      </c>
      <c r="C2853" s="7">
        <f>"adj. 获得的；采购了的"&amp;CHAR(10)&amp;"v. 获得；促成（procure的过去分词）"</f>
        <v/>
      </c>
      <c r="G2853" s="18">
        <f>HYPERLINK("D:\python\英语学习\voices\"&amp;B2853&amp;"_1.mp3","BrE")</f>
        <v/>
      </c>
      <c r="H2853" s="18">
        <f>HYPERLINK("D:\python\英语学习\voices\"&amp;B2853&amp;"_2.mp3","AmE")</f>
        <v/>
      </c>
      <c r="I2853" s="18">
        <f>HYPERLINK("http://dict.youdao.com/w/"&amp;B2853,"有道")</f>
        <v/>
      </c>
    </row>
    <row customHeight="1" ht="29.1" r="2854">
      <c r="B2854" s="1" t="inlineStr">
        <is>
          <t>archaic</t>
        </is>
      </c>
      <c r="C2854" s="7">
        <f>"adj. 古代的；陈旧的；古体的；古色古香的"</f>
        <v/>
      </c>
      <c r="G2854" s="18">
        <f>HYPERLINK("D:\python\英语学习\voices\"&amp;B2854&amp;"_1.mp3","BrE")</f>
        <v/>
      </c>
      <c r="H2854" s="18">
        <f>HYPERLINK("D:\python\英语学习\voices\"&amp;B2854&amp;"_2.mp3","AmE")</f>
        <v/>
      </c>
      <c r="I2854" s="18">
        <f>HYPERLINK("http://dict.youdao.com/w/"&amp;B2854,"有道")</f>
        <v/>
      </c>
    </row>
    <row r="2855">
      <c r="B2855" s="1" t="inlineStr">
        <is>
          <t>furtively</t>
        </is>
      </c>
      <c r="C2855" s="7">
        <f>"adv. 偷偷地；暗中地"</f>
        <v/>
      </c>
      <c r="G2855" s="18">
        <f>HYPERLINK("D:\python\英语学习\voices\"&amp;B2855&amp;"_1.mp3","BrE")</f>
        <v/>
      </c>
      <c r="H2855" s="18">
        <f>HYPERLINK("D:\python\英语学习\voices\"&amp;B2855&amp;"_2.mp3","AmE")</f>
        <v/>
      </c>
      <c r="I2855" s="18">
        <f>HYPERLINK("http://dict.youdao.com/w/"&amp;B2855,"有道")</f>
        <v/>
      </c>
    </row>
    <row customHeight="1" ht="28.5" r="2856">
      <c r="B2856" s="1" t="inlineStr">
        <is>
          <t>nib</t>
        </is>
      </c>
      <c r="C2856" s="7">
        <f>"n. 钢笔尖；嘴；鹅管笔的尖端"&amp;CHAR(10)&amp;"vt. 装尖头；削尖；插入"</f>
        <v/>
      </c>
      <c r="G2856" s="18">
        <f>HYPERLINK("D:\python\英语学习\voices\"&amp;B2856&amp;"_1.mp3","BrE")</f>
        <v/>
      </c>
      <c r="H2856" s="18">
        <f>HYPERLINK("D:\python\英语学习\voices\"&amp;B2856&amp;"_2.mp3","AmE")</f>
        <v/>
      </c>
      <c r="I2856" s="18">
        <f>HYPERLINK("http://dict.youdao.com/w/"&amp;B2856,"有道")</f>
        <v/>
      </c>
    </row>
    <row r="2857">
      <c r="B2857" s="1" t="inlineStr">
        <is>
          <t>slummy</t>
        </is>
      </c>
      <c r="C2857" s="7">
        <f>"adj. 贫民区的；贫民窟的"</f>
        <v/>
      </c>
      <c r="G2857" s="18">
        <f>HYPERLINK("D:\python\英语学习\voices\"&amp;B2857&amp;"_1.mp3","BrE")</f>
        <v/>
      </c>
      <c r="H2857" s="18">
        <f>HYPERLINK("D:\python\英语学习\voices\"&amp;B2857&amp;"_2.mp3","AmE")</f>
        <v/>
      </c>
      <c r="I2857" s="18">
        <f>HYPERLINK("http://dict.youdao.com/w/"&amp;B2857,"有道")</f>
        <v/>
      </c>
    </row>
    <row customHeight="1" ht="28.5" r="2858">
      <c r="A2858" s="1" t="inlineStr">
        <is>
          <t>unnecessary</t>
        </is>
      </c>
      <c r="B2858" s="1" t="inlineStr">
        <is>
          <t>alcove</t>
        </is>
      </c>
      <c r="C2858" s="7">
        <f>"n. 凹室；壁龛"&amp;CHAR(10)&amp;"n. (Alcove)人名；(法)阿尔科夫"</f>
        <v/>
      </c>
      <c r="G2858" s="18">
        <f>HYPERLINK("D:\python\英语学习\voices\"&amp;B2858&amp;"_1.mp3","BrE")</f>
        <v/>
      </c>
      <c r="H2858" s="18">
        <f>HYPERLINK("D:\python\英语学习\voices\"&amp;B2858&amp;"_2.mp3","AmE")</f>
        <v/>
      </c>
      <c r="I2858" s="18">
        <f>HYPERLINK("http://dict.youdao.com/w/"&amp;B2858,"有道")</f>
        <v/>
      </c>
    </row>
    <row r="2859">
      <c r="B2859" s="1" t="inlineStr">
        <is>
          <t>incautiously</t>
        </is>
      </c>
      <c r="C2859" s="7">
        <f>"adv. 鲁莽地"</f>
        <v/>
      </c>
      <c r="G2859" s="18">
        <f>HYPERLINK("D:\python\英语学习\voices\"&amp;B2859&amp;"_1.mp3","BrE")</f>
        <v/>
      </c>
      <c r="H2859" s="18">
        <f>HYPERLINK("D:\python\英语学习\voices\"&amp;B2859&amp;"_2.mp3","AmE")</f>
        <v/>
      </c>
      <c r="I2859" s="18">
        <f>HYPERLINK("http://dict.youdao.com/w/"&amp;B2859,"有道")</f>
        <v/>
      </c>
    </row>
    <row customHeight="1" ht="28.5" r="2860">
      <c r="B2860" s="1" t="inlineStr">
        <is>
          <t>gulped</t>
        </is>
      </c>
      <c r="C2860" s="7">
        <f>"v. 狼吞虎咽地吃；大口地吸；哽住；喘不过气"&amp;CHAR(10)&amp;"n. 一大口（尤指液体）；吞饮的量；吞咽"</f>
        <v/>
      </c>
      <c r="G2860" s="18">
        <f>HYPERLINK("D:\python\英语学习\voices\"&amp;B2860&amp;"_1.mp3","BrE")</f>
        <v/>
      </c>
      <c r="H2860" s="18">
        <f>HYPERLINK("D:\python\英语学习\voices\"&amp;B2860&amp;"_2.mp3","AmE")</f>
        <v/>
      </c>
      <c r="I2860" s="18">
        <f>HYPERLINK("http://dict.youdao.com/w/"&amp;B2860,"有道")</f>
        <v/>
      </c>
    </row>
    <row customHeight="1" ht="57" r="2861">
      <c r="B2861" s="1" t="inlineStr">
        <is>
          <t>barb</t>
        </is>
      </c>
      <c r="C2861" s="7">
        <f>"n. 箭头鱼钩等的倒钩；伤人（或挖苦人）的话；（鲶鱼等的）触须；羽支；鲃鱼；非洲马"&amp;CHAR(10)&amp;"v. 装倒钩于"&amp;CHAR(10)&amp;"n. (Barb) （美、罗、法）巴尔布（人名）"</f>
        <v/>
      </c>
      <c r="G2861" s="18">
        <f>HYPERLINK("D:\python\英语学习\voices\"&amp;B2861&amp;"_1.mp3","BrE")</f>
        <v/>
      </c>
      <c r="H2861" s="18">
        <f>HYPERLINK("D:\python\英语学习\voices\"&amp;B2861&amp;"_2.mp3","AmE")</f>
        <v/>
      </c>
      <c r="I2861" s="18">
        <f>HYPERLINK("http://dict.youdao.com/w/"&amp;B2861,"有道")</f>
        <v/>
      </c>
    </row>
    <row r="2862">
      <c r="B2862" s="1" t="inlineStr">
        <is>
          <t>entanglement</t>
        </is>
      </c>
      <c r="C2862" s="7">
        <f>"n. 纠缠；铁丝网；缠绕物；牵连"</f>
        <v/>
      </c>
      <c r="G2862" s="18">
        <f>HYPERLINK("D:\python\英语学习\voices\"&amp;B2862&amp;"_1.mp3","BrE")</f>
        <v/>
      </c>
      <c r="H2862" s="18">
        <f>HYPERLINK("D:\python\英语学习\voices\"&amp;B2862&amp;"_2.mp3","AmE")</f>
        <v/>
      </c>
      <c r="I2862" s="18">
        <f>HYPERLINK("http://dict.youdao.com/w/"&amp;B2862,"有道")</f>
        <v/>
      </c>
    </row>
    <row customHeight="1" ht="28.5" r="2863">
      <c r="B2863" s="1" t="inlineStr">
        <is>
          <t>ramification</t>
        </is>
      </c>
      <c r="C2863" s="7">
        <f>"n. 衍生物；分枝，分叉；支流；（衍生的）结果、影响"</f>
        <v/>
      </c>
      <c r="E2863" s="6" t="inlineStr">
        <is>
          <t>（众多复杂而又难以预料的）结果</t>
        </is>
      </c>
      <c r="F2863" s="14">
        <f>"But everyone is fighting it out without considering the enormous economic and political ramification to Thailand as a whole.
混战中的每个人都没有考虑到这将会对泰国整体经济和政治造成严重后果"</f>
        <v/>
      </c>
      <c r="G2863" s="18">
        <f>HYPERLINK("D:\python\英语学习\voices\"&amp;B2863&amp;"_1.mp3","BrE")</f>
        <v/>
      </c>
      <c r="H2863" s="18">
        <f>HYPERLINK("D:\python\英语学习\voices\"&amp;B2863&amp;"_2.mp3","AmE")</f>
        <v/>
      </c>
      <c r="I2863" s="18">
        <f>HYPERLINK("http://dict.youdao.com/w/"&amp;B2863,"有道")</f>
        <v/>
      </c>
    </row>
    <row r="2864">
      <c r="B2864" s="1" t="inlineStr">
        <is>
          <t>colony</t>
        </is>
      </c>
      <c r="C2864" s="7">
        <f>"n. 殖民地；移民队；种群；动物栖息地"</f>
        <v/>
      </c>
      <c r="G2864" s="18">
        <f>HYPERLINK("D:\python\英语学习\voices\"&amp;B2864&amp;"_1.mp3","BrE")</f>
        <v/>
      </c>
      <c r="H2864" s="18">
        <f>HYPERLINK("D:\python\英语学习\voices\"&amp;B2864&amp;"_2.mp3","AmE")</f>
        <v/>
      </c>
      <c r="I2864" s="18">
        <f>HYPERLINK("http://dict.youdao.com/w/"&amp;B2864,"有道")</f>
        <v/>
      </c>
    </row>
    <row r="2865">
      <c r="B2865" s="1" t="inlineStr">
        <is>
          <t>invariably</t>
        </is>
      </c>
      <c r="C2865" s="7">
        <f>"adv. 总是；不变地；一定地"</f>
        <v/>
      </c>
      <c r="G2865" s="18">
        <f>HYPERLINK("D:\python\英语学习\voices\"&amp;B2865&amp;"_1.mp3","BrE")</f>
        <v/>
      </c>
      <c r="H2865" s="18">
        <f>HYPERLINK("D:\python\英语学习\voices\"&amp;B2865&amp;"_2.mp3","AmE")</f>
        <v/>
      </c>
      <c r="I2865" s="18">
        <f>HYPERLINK("http://dict.youdao.com/w/"&amp;B2865,"有道")</f>
        <v/>
      </c>
    </row>
    <row r="2866">
      <c r="B2866" s="1" t="inlineStr">
        <is>
          <t>denunciation</t>
        </is>
      </c>
      <c r="C2866" s="7">
        <f>"n. 谴责，斥责；告发"</f>
        <v/>
      </c>
      <c r="G2866" s="18">
        <f>HYPERLINK("D:\python\英语学习\voices\"&amp;B2866&amp;"_1.mp3","BrE")</f>
        <v/>
      </c>
      <c r="H2866" s="18">
        <f>HYPERLINK("D:\python\英语学习\voices\"&amp;B2866&amp;"_2.mp3","AmE")</f>
        <v/>
      </c>
      <c r="I2866" s="18">
        <f>HYPERLINK("http://dict.youdao.com/w/"&amp;B2866,"有道")</f>
        <v/>
      </c>
    </row>
    <row customHeight="1" ht="28.5" r="2867">
      <c r="B2867" s="1" t="inlineStr">
        <is>
          <t>twine</t>
        </is>
      </c>
      <c r="C2867" s="7">
        <f>"n. （两股或多股的）线，绳"&amp;CHAR(10)&amp;"v. 使缠绕；（植物）盘绕；交织"</f>
        <v/>
      </c>
      <c r="G2867" s="18">
        <f>HYPERLINK("D:\python\英语学习\voices\"&amp;B2867&amp;"_1.mp3","BrE")</f>
        <v/>
      </c>
      <c r="H2867" s="18">
        <f>HYPERLINK("D:\python\英语学习\voices\"&amp;B2867&amp;"_2.mp3","AmE")</f>
        <v/>
      </c>
      <c r="I2867" s="18">
        <f>HYPERLINK("http://dict.youdao.com/w/"&amp;B2867,"有道")</f>
        <v/>
      </c>
    </row>
    <row customHeight="1" ht="28.5" r="2868">
      <c r="B2868" s="1" t="inlineStr">
        <is>
          <t>creosote</t>
        </is>
      </c>
      <c r="C2868" s="7">
        <f>"n. 杂酚油，木馏油"&amp;CHAR(10)&amp;"v. 用杂酚油涂抹（或防腐）"</f>
        <v/>
      </c>
      <c r="G2868" s="18">
        <f>HYPERLINK("D:\python\英语学习\voices\"&amp;B2868&amp;"_1.mp3","BrE")</f>
        <v/>
      </c>
      <c r="H2868" s="18">
        <f>HYPERLINK("D:\python\英语学习\voices\"&amp;B2868&amp;"_2.mp3","AmE")</f>
        <v/>
      </c>
      <c r="I2868" s="18">
        <f>HYPERLINK("http://dict.youdao.com/w/"&amp;B2868,"有道")</f>
        <v/>
      </c>
    </row>
    <row customHeight="1" ht="57" r="2869">
      <c r="B2869" s="1" t="inlineStr">
        <is>
          <t>brush</t>
        </is>
      </c>
      <c r="C2869" s="7">
        <f>"n. 刷子；画笔；毛笔；争吵；冲突；灌木丛地带；矮树丛；狐狸尾巴"&amp;CHAR(10)&amp;"vt. 刷；画；"&amp;CHAR(10)&amp;"vi. 刷；擦过；掠过；（经过时）轻触"</f>
        <v/>
      </c>
      <c r="G2869" s="18">
        <f>HYPERLINK("D:\python\英语学习\voices\"&amp;B2869&amp;"_1.mp3","BrE")</f>
        <v/>
      </c>
      <c r="H2869" s="18">
        <f>HYPERLINK("D:\python\英语学习\voices\"&amp;B2869&amp;"_2.mp3","AmE")</f>
        <v/>
      </c>
      <c r="I2869" s="18">
        <f>HYPERLINK("http://dict.youdao.com/w/"&amp;B2869,"有道")</f>
        <v/>
      </c>
    </row>
    <row customHeight="1" ht="28.5" r="2870">
      <c r="B2870" s="1" t="inlineStr">
        <is>
          <t>ambiguous</t>
        </is>
      </c>
      <c r="C2870" s="7">
        <f>"adj. 模糊不清的，模棱两可的；不明确的，不明朗的；引起歧义的"</f>
        <v/>
      </c>
      <c r="G2870" s="18">
        <f>HYPERLINK("D:\python\英语学习\voices\"&amp;B2870&amp;"_1.mp3","BrE")</f>
        <v/>
      </c>
      <c r="H2870" s="18">
        <f>HYPERLINK("D:\python\英语学习\voices\"&amp;B2870&amp;"_2.mp3","AmE")</f>
        <v/>
      </c>
      <c r="I2870" s="18">
        <f>HYPERLINK("http://dict.youdao.com/w/"&amp;B2870,"有道")</f>
        <v/>
      </c>
    </row>
    <row customHeight="1" ht="28.5" r="2871">
      <c r="B2871" s="1" t="inlineStr">
        <is>
          <t>appropriate</t>
        </is>
      </c>
      <c r="C2871" s="7">
        <f>"adj. 适当的；恰当的；合适的"&amp;CHAR(10)&amp;"vt. 占用，拨出"</f>
        <v/>
      </c>
      <c r="G2871" s="18">
        <f>HYPERLINK("D:\python\英语学习\voices\"&amp;B2871&amp;"_1.mp3","BrE")</f>
        <v/>
      </c>
      <c r="H2871" s="18">
        <f>HYPERLINK("D:\python\英语学习\voices\"&amp;B2871&amp;"_2.mp3","AmE")</f>
        <v/>
      </c>
      <c r="I2871" s="18">
        <f>HYPERLINK("http://dict.youdao.com/w/"&amp;B2871,"有道")</f>
        <v/>
      </c>
    </row>
    <row customHeight="1" ht="42.75" r="2872">
      <c r="A2872" s="1" t="inlineStr">
        <is>
          <t>practice</t>
        </is>
      </c>
      <c r="B2872" s="1" t="inlineStr">
        <is>
          <t>mandate</t>
        </is>
      </c>
      <c r="C2872" s="7">
        <f>"n. 授权；命令，指令；委托管理；受命进行的工作"&amp;CHAR(10)&amp;"vt. 授权；托管"</f>
        <v/>
      </c>
      <c r="G2872" s="18">
        <f>HYPERLINK("D:\python\英语学习\voices\"&amp;B2872&amp;"_1.mp3","BrE")</f>
        <v/>
      </c>
      <c r="H2872" s="18">
        <f>HYPERLINK("D:\python\英语学习\voices\"&amp;B2872&amp;"_2.mp3","AmE")</f>
        <v/>
      </c>
      <c r="I2872" s="18">
        <f>HYPERLINK("http://dict.youdao.com/w/"&amp;B2872,"有道")</f>
        <v/>
      </c>
    </row>
    <row customHeight="1" ht="42.75" r="2873">
      <c r="B2873" s="1" t="inlineStr">
        <is>
          <t>burgeoning</t>
        </is>
      </c>
      <c r="C2873" s="7">
        <f>"adj. 迅速发展的，快速生长的，繁荣的"&amp;CHAR(10)&amp;"v. 急速增长，迅速发展，繁荣兴盛（burgeon 的现在分词）"</f>
        <v/>
      </c>
      <c r="G2873" s="18">
        <f>HYPERLINK("D:\python\英语学习\voices\"&amp;B2873&amp;"_1.mp3","BrE")</f>
        <v/>
      </c>
      <c r="H2873" s="18">
        <f>HYPERLINK("D:\python\英语学习\voices\"&amp;B2873&amp;"_2.mp3","AmE")</f>
        <v/>
      </c>
      <c r="I2873" s="18">
        <f>HYPERLINK("http://dict.youdao.com/w/"&amp;B2873,"有道")</f>
        <v/>
      </c>
    </row>
    <row customHeight="1" ht="28.5" r="2874">
      <c r="A2874" s="1" t="inlineStr">
        <is>
          <t>practice</t>
        </is>
      </c>
      <c r="B2874" s="1" t="inlineStr">
        <is>
          <t>incentive</t>
        </is>
      </c>
      <c r="C2874" s="7">
        <f>"n. 动机；刺激"&amp;CHAR(10)&amp;"adj. 激励的；刺激的"</f>
        <v/>
      </c>
      <c r="G2874" s="18">
        <f>HYPERLINK("D:\python\英语学习\voices\"&amp;B2874&amp;"_1.mp3","BrE")</f>
        <v/>
      </c>
      <c r="H2874" s="18">
        <f>HYPERLINK("D:\python\英语学习\voices\"&amp;B2874&amp;"_2.mp3","AmE")</f>
        <v/>
      </c>
      <c r="I2874" s="18">
        <f>HYPERLINK("http://dict.youdao.com/w/"&amp;B2874,"有道")</f>
        <v/>
      </c>
    </row>
    <row customHeight="1" ht="28.5" r="2875">
      <c r="A2875" s="1" t="inlineStr">
        <is>
          <t>practice</t>
        </is>
      </c>
      <c r="B2875" s="1" t="inlineStr">
        <is>
          <t>tangible</t>
        </is>
      </c>
      <c r="C2875" s="7">
        <f>"adj. 有形的；切实的；可触摸的"&amp;CHAR(10)&amp;"n. 有形资产"</f>
        <v/>
      </c>
      <c r="G2875" s="18">
        <f>HYPERLINK("D:\python\英语学习\voices\"&amp;B2875&amp;"_1.mp3","BrE")</f>
        <v/>
      </c>
      <c r="H2875" s="18">
        <f>HYPERLINK("D:\python\英语学习\voices\"&amp;B2875&amp;"_2.mp3","AmE")</f>
        <v/>
      </c>
      <c r="I2875" s="18">
        <f>HYPERLINK("http://dict.youdao.com/w/"&amp;B2875,"有道")</f>
        <v/>
      </c>
    </row>
    <row customHeight="1" ht="28.5" r="2876">
      <c r="B2876" s="1" t="inlineStr">
        <is>
          <t>cunning</t>
        </is>
      </c>
      <c r="C2876" s="7">
        <f>"adj. 狡猾的；巧妙的；可爱的"&amp;CHAR(10)&amp;"n. 狡猾"</f>
        <v/>
      </c>
      <c r="G2876" s="18">
        <f>HYPERLINK("D:\python\英语学习\voices\"&amp;B2876&amp;"_1.mp3","BrE")</f>
        <v/>
      </c>
      <c r="H2876" s="18">
        <f>HYPERLINK("D:\python\英语学习\voices\"&amp;B2876&amp;"_2.mp3","AmE")</f>
        <v/>
      </c>
      <c r="I2876" s="18">
        <f>HYPERLINK("http://dict.youdao.com/w/"&amp;B2876,"有道")</f>
        <v/>
      </c>
    </row>
    <row customHeight="1" ht="28.5" r="2877">
      <c r="B2877" s="1" t="inlineStr">
        <is>
          <t>dazzling</t>
        </is>
      </c>
      <c r="C2877" s="7">
        <f>"adj. 耀眼的；眼花缭乱的"&amp;CHAR(10)&amp;"v. 使…眼花（dazzle的ing形式）"</f>
        <v/>
      </c>
      <c r="G2877" s="18">
        <f>HYPERLINK("D:\python\英语学习\voices\"&amp;B2877&amp;"_1.mp3","BrE")</f>
        <v/>
      </c>
      <c r="H2877" s="18">
        <f>HYPERLINK("D:\python\英语学习\voices\"&amp;B2877&amp;"_2.mp3","AmE")</f>
        <v/>
      </c>
      <c r="I2877" s="18">
        <f>HYPERLINK("http://dict.youdao.com/w/"&amp;B2877,"有道")</f>
        <v/>
      </c>
    </row>
    <row customHeight="1" ht="42.75" r="2878">
      <c r="A2878" s="1" t="inlineStr">
        <is>
          <t>practice</t>
        </is>
      </c>
      <c r="B2878" s="1" t="inlineStr">
        <is>
          <t>oust</t>
        </is>
      </c>
      <c r="C2878" s="7">
        <f>"vt. 驱逐；剥夺；取代"</f>
        <v/>
      </c>
      <c r="G2878" s="18">
        <f>HYPERLINK("D:\python\英语学习\voices\"&amp;B2878&amp;"_1.mp3","BrE")</f>
        <v/>
      </c>
      <c r="H2878" s="18">
        <f>HYPERLINK("D:\python\英语学习\voices\"&amp;B2878&amp;"_2.mp3","AmE")</f>
        <v/>
      </c>
      <c r="I2878" s="18">
        <f>HYPERLINK("http://dict.youdao.com/w/"&amp;B2878,"有道")</f>
        <v/>
      </c>
    </row>
    <row customHeight="1" ht="29.1" r="2879">
      <c r="A2879" s="1" t="inlineStr">
        <is>
          <t>practice</t>
        </is>
      </c>
      <c r="B2879" s="1" t="inlineStr">
        <is>
          <t>exacerbate</t>
        </is>
      </c>
      <c r="C2879" s="7">
        <f>"vt. 使加剧；使恶化；激怒"</f>
        <v/>
      </c>
      <c r="G2879" s="18">
        <f>HYPERLINK("D:\python\英语学习\voices\"&amp;B2879&amp;"_1.mp3","BrE")</f>
        <v/>
      </c>
      <c r="H2879" s="18">
        <f>HYPERLINK("D:\python\英语学习\voices\"&amp;B2879&amp;"_2.mp3","AmE")</f>
        <v/>
      </c>
      <c r="I2879" s="18">
        <f>HYPERLINK("http://dict.youdao.com/w/"&amp;B2879,"有道")</f>
        <v/>
      </c>
    </row>
    <row customHeight="1" ht="28.5" r="2880">
      <c r="B2880" s="1" t="inlineStr">
        <is>
          <t>determined</t>
        </is>
      </c>
      <c r="C2880" s="7">
        <f>"adj. 决定了的；坚决的"&amp;CHAR(10)&amp;"v. 决定；断定（determine的过去分词）"</f>
        <v/>
      </c>
      <c r="G2880" s="18">
        <f>HYPERLINK("D:\python\英语学习\voices\"&amp;B2880&amp;"_1.mp3","BrE")</f>
        <v/>
      </c>
      <c r="H2880" s="18">
        <f>HYPERLINK("D:\python\英语学习\voices\"&amp;B2880&amp;"_2.mp3","AmE")</f>
        <v/>
      </c>
      <c r="I2880" s="18">
        <f>HYPERLINK("http://dict.youdao.com/w/"&amp;B2880,"有道")</f>
        <v/>
      </c>
    </row>
    <row customHeight="1" ht="28.5" r="2881">
      <c r="B2881" s="1" t="inlineStr">
        <is>
          <t>doomed</t>
        </is>
      </c>
      <c r="C2881" s="7">
        <f>"adj. 注定的；命定的"&amp;CHAR(10)&amp;"v. 注定；宣判（doom的过去分词）"</f>
        <v/>
      </c>
      <c r="G2881" s="18">
        <f>HYPERLINK("D:\python\英语学习\voices\"&amp;B2881&amp;"_1.mp3","BrE")</f>
        <v/>
      </c>
      <c r="H2881" s="18">
        <f>HYPERLINK("D:\python\英语学习\voices\"&amp;B2881&amp;"_2.mp3","AmE")</f>
        <v/>
      </c>
      <c r="I2881" s="18">
        <f>HYPERLINK("http://dict.youdao.com/w/"&amp;B2881,"有道")</f>
        <v/>
      </c>
    </row>
    <row customHeight="1" ht="57" r="2882">
      <c r="B2882" s="1" t="inlineStr">
        <is>
          <t>elevated</t>
        </is>
      </c>
      <c r="C2882" s="7">
        <f>"adj. 提高的；高尚的；严肃的；欢欣的"&amp;CHAR(10)&amp;"v. 提高；抬起；振奋；提拔（elevate的过去分词）"&amp;CHAR(10)&amp;"n. 高架铁路"</f>
        <v/>
      </c>
      <c r="G2882" s="18">
        <f>HYPERLINK("D:\python\英语学习\voices\"&amp;B2882&amp;"_1.mp3","BrE")</f>
        <v/>
      </c>
      <c r="H2882" s="18">
        <f>HYPERLINK("D:\python\英语学习\voices\"&amp;B2882&amp;"_2.mp3","AmE")</f>
        <v/>
      </c>
      <c r="I2882" s="18">
        <f>HYPERLINK("http://dict.youdao.com/w/"&amp;B2882,"有道")</f>
        <v/>
      </c>
    </row>
    <row customHeight="1" ht="42.75" r="2883">
      <c r="A2883" s="1" t="inlineStr">
        <is>
          <t>practice</t>
        </is>
      </c>
      <c r="B2883" s="1" t="inlineStr">
        <is>
          <t>crumble</t>
        </is>
      </c>
      <c r="C2883" s="7">
        <f>"vi. 崩溃；破碎，粉碎"&amp;CHAR(10)&amp;"vt. 崩溃；弄碎，粉碎"&amp;CHAR(10)&amp;"n. 面包屑"</f>
        <v/>
      </c>
      <c r="G2883" s="18">
        <f>HYPERLINK("D:\python\英语学习\voices\"&amp;B2883&amp;"_1.mp3","BrE")</f>
        <v/>
      </c>
      <c r="H2883" s="18">
        <f>HYPERLINK("D:\python\英语学习\voices\"&amp;B2883&amp;"_2.mp3","AmE")</f>
        <v/>
      </c>
      <c r="I2883" s="18">
        <f>HYPERLINK("http://dict.youdao.com/w/"&amp;B2883,"有道")</f>
        <v/>
      </c>
    </row>
    <row r="2884">
      <c r="B2884" s="1" t="inlineStr">
        <is>
          <t>ferocious</t>
        </is>
      </c>
      <c r="C2884" s="7">
        <f>"adj. 残忍的；惊人的"</f>
        <v/>
      </c>
      <c r="G2884" s="18">
        <f>HYPERLINK("D:\python\英语学习\voices\"&amp;B2884&amp;"_1.mp3","BrE")</f>
        <v/>
      </c>
      <c r="H2884" s="18">
        <f>HYPERLINK("D:\python\英语学习\voices\"&amp;B2884&amp;"_2.mp3","AmE")</f>
        <v/>
      </c>
      <c r="I2884" s="18">
        <f>HYPERLINK("http://dict.youdao.com/w/"&amp;B2884,"有道")</f>
        <v/>
      </c>
    </row>
    <row customHeight="1" ht="28.5" r="2885">
      <c r="B2885" s="1" t="inlineStr">
        <is>
          <t>flamboyant</t>
        </is>
      </c>
      <c r="C2885" s="7">
        <f>"adj. 艳丽的；火焰似的；炫耀的"&amp;CHAR(10)&amp;"n. 凤凰木"</f>
        <v/>
      </c>
      <c r="F2885">
        <f>"They used the money to support a modestly flamboyant lifestyle — nice cars, clothes, good cigars and restaurants — but nothing so ostentatious as to attract attention."</f>
        <v/>
      </c>
      <c r="G2885" s="18">
        <f>HYPERLINK("D:\python\英语学习\voices\"&amp;B2885&amp;"_1.mp3","BrE")</f>
        <v/>
      </c>
      <c r="H2885" s="18">
        <f>HYPERLINK("D:\python\英语学习\voices\"&amp;B2885&amp;"_2.mp3","AmE")</f>
        <v/>
      </c>
      <c r="I2885" s="18">
        <f>HYPERLINK("http://dict.youdao.com/w/"&amp;B2885,"有道")</f>
        <v/>
      </c>
    </row>
    <row r="2886">
      <c r="B2886" s="1" t="inlineStr">
        <is>
          <t>fledgling</t>
        </is>
      </c>
      <c r="C2886" s="7">
        <f>"n. 无经验的人；刚会飞的幼鸟"</f>
        <v/>
      </c>
      <c r="G2886" s="18">
        <f>HYPERLINK("D:\python\英语学习\voices\"&amp;B2886&amp;"_1.mp3","BrE")</f>
        <v/>
      </c>
      <c r="H2886" s="18">
        <f>HYPERLINK("D:\python\英语学习\voices\"&amp;B2886&amp;"_2.mp3","AmE")</f>
        <v/>
      </c>
      <c r="I2886" s="18">
        <f>HYPERLINK("http://dict.youdao.com/w/"&amp;B2886,"有道")</f>
        <v/>
      </c>
    </row>
    <row customHeight="1" ht="42.75" r="2887">
      <c r="B2887" s="1" t="inlineStr">
        <is>
          <t>fluid</t>
        </is>
      </c>
      <c r="C2887" s="7">
        <f>"n. 流体，液体"&amp;CHAR(10)&amp;"adj. 流动的；不固定的，易变的；流畅的，优美的；液压传动的"</f>
        <v/>
      </c>
      <c r="G2887" s="18">
        <f>HYPERLINK("D:\python\英语学习\voices\"&amp;B2887&amp;"_1.mp3","BrE")</f>
        <v/>
      </c>
      <c r="H2887" s="18">
        <f>HYPERLINK("D:\python\英语学习\voices\"&amp;B2887&amp;"_2.mp3","AmE")</f>
        <v/>
      </c>
      <c r="I2887" s="18">
        <f>HYPERLINK("http://dict.youdao.com/w/"&amp;B2887,"有道")</f>
        <v/>
      </c>
    </row>
    <row customHeight="1" ht="57" r="2888">
      <c r="B2888" s="1" t="inlineStr">
        <is>
          <t>hefty</t>
        </is>
      </c>
      <c r="C2888" s="7">
        <f>"adj. 重的；肌肉发达的；异常大的"&amp;CHAR(10)&amp;"adv. 强有力地；非常"&amp;CHAR(10)&amp;"n. 体格健壮的人"&amp;CHAR(10)&amp;"n. (Hefty)人名；(英)赫夫蒂；(法)埃夫蒂"</f>
        <v/>
      </c>
      <c r="G2888" s="18">
        <f>HYPERLINK("D:\python\英语学习\voices\"&amp;B2888&amp;"_1.mp3","BrE")</f>
        <v/>
      </c>
      <c r="H2888" s="18">
        <f>HYPERLINK("D:\python\英语学习\voices\"&amp;B2888&amp;"_2.mp3","AmE")</f>
        <v/>
      </c>
      <c r="I2888" s="18">
        <f>HYPERLINK("http://dict.youdao.com/w/"&amp;B2888,"有道")</f>
        <v/>
      </c>
    </row>
    <row customHeight="1" ht="29.1" r="2889">
      <c r="B2889" s="1" t="inlineStr">
        <is>
          <t>immense</t>
        </is>
      </c>
      <c r="C2889" s="7">
        <f>"adj. 巨大的，广大的；无边无际的；非常好的"</f>
        <v/>
      </c>
      <c r="G2889" s="18">
        <f>HYPERLINK("D:\python\英语学习\voices\"&amp;B2889&amp;"_1.mp3","BrE")</f>
        <v/>
      </c>
      <c r="H2889" s="18">
        <f>HYPERLINK("D:\python\英语学习\voices\"&amp;B2889&amp;"_2.mp3","AmE")</f>
        <v/>
      </c>
      <c r="I2889" s="18">
        <f>HYPERLINK("http://dict.youdao.com/w/"&amp;B2889,"有道")</f>
        <v/>
      </c>
    </row>
    <row r="2890">
      <c r="A2890" s="1" t="inlineStr">
        <is>
          <t>practice</t>
        </is>
      </c>
      <c r="B2890" s="1" t="inlineStr">
        <is>
          <t>underpin</t>
        </is>
      </c>
      <c r="C2890" s="7">
        <f>"vt. 巩固；支持；从下面支撑；加强…的基础"</f>
        <v/>
      </c>
      <c r="G2890" s="18">
        <f>HYPERLINK("D:\python\英语学习\voices\"&amp;B2890&amp;"_1.mp3","BrE")</f>
        <v/>
      </c>
      <c r="H2890" s="18">
        <f>HYPERLINK("D:\python\英语学习\voices\"&amp;B2890&amp;"_2.mp3","AmE")</f>
        <v/>
      </c>
      <c r="I2890" s="18">
        <f>HYPERLINK("http://dict.youdao.com/w/"&amp;B2890,"有道")</f>
        <v/>
      </c>
    </row>
    <row customHeight="1" ht="28.5" r="2891">
      <c r="B2891" s="1" t="inlineStr">
        <is>
          <t>inaugural</t>
        </is>
      </c>
      <c r="C2891" s="7">
        <f>"adj. 开始的；开幕的；就任的，就职的"&amp;CHAR(10)&amp;"n. 就职演讲；开幕辞"</f>
        <v/>
      </c>
      <c r="D2891" s="6" t="inlineStr">
        <is>
          <t>inauguration就职典礼</t>
        </is>
      </c>
      <c r="E2891" s="10" t="inlineStr">
        <is>
          <t>=first</t>
        </is>
      </c>
      <c r="G2891" s="18">
        <f>HYPERLINK("D:\python\英语学习\voices\"&amp;B2891&amp;"_1.mp3","BrE")</f>
        <v/>
      </c>
      <c r="H2891" s="18">
        <f>HYPERLINK("D:\python\英语学习\voices\"&amp;B2891&amp;"_2.mp3","AmE")</f>
        <v/>
      </c>
      <c r="I2891" s="18">
        <f>HYPERLINK("http://dict.youdao.com/w/"&amp;B2891,"有道")</f>
        <v/>
      </c>
    </row>
    <row r="2892">
      <c r="B2892" s="1" t="inlineStr">
        <is>
          <t>indifference</t>
        </is>
      </c>
      <c r="C2892" s="7">
        <f>"n. 漠不关心；冷淡；不重视；中立"</f>
        <v/>
      </c>
      <c r="G2892" s="18">
        <f>HYPERLINK("D:\python\英语学习\voices\"&amp;B2892&amp;"_1.mp3","BrE")</f>
        <v/>
      </c>
      <c r="H2892" s="18">
        <f>HYPERLINK("D:\python\英语学习\voices\"&amp;B2892&amp;"_2.mp3","AmE")</f>
        <v/>
      </c>
      <c r="I2892" s="18">
        <f>HYPERLINK("http://dict.youdao.com/w/"&amp;B2892,"有道")</f>
        <v/>
      </c>
    </row>
    <row customHeight="1" ht="42.75" r="2893">
      <c r="B2893" s="1" t="inlineStr">
        <is>
          <t>linger</t>
        </is>
      </c>
      <c r="C2893" s="7">
        <f>"vi. 徘徊；苟延残喘；磨蹭"&amp;CHAR(10)&amp;"vt. 消磨；缓慢度过"&amp;CHAR(10)&amp;"n. (Linger)人名；(德、捷、瑞典)林格；(法)兰热"</f>
        <v/>
      </c>
      <c r="G2893" s="18">
        <f>HYPERLINK("D:\python\英语学习\voices\"&amp;B2893&amp;"_1.mp3","BrE")</f>
        <v/>
      </c>
      <c r="H2893" s="18">
        <f>HYPERLINK("D:\python\英语学习\voices\"&amp;B2893&amp;"_2.mp3","AmE")</f>
        <v/>
      </c>
      <c r="I2893" s="18">
        <f>HYPERLINK("http://dict.youdao.com/w/"&amp;B2893,"有道")</f>
        <v/>
      </c>
    </row>
    <row r="2894">
      <c r="A2894" s="1" t="inlineStr">
        <is>
          <t>practice</t>
        </is>
      </c>
      <c r="B2894" s="1" t="inlineStr">
        <is>
          <t>staggering</t>
        </is>
      </c>
      <c r="C2894" s="7">
        <f>"adj. 惊人的，令人震惊的"</f>
        <v/>
      </c>
      <c r="E2894" s="6" t="inlineStr">
        <is>
          <t>stagger-蹒跚，犹豫</t>
        </is>
      </c>
      <c r="G2894" s="18">
        <f>HYPERLINK("D:\python\英语学习\voices\"&amp;B2894&amp;"_1.mp3","BrE")</f>
        <v/>
      </c>
      <c r="H2894" s="18">
        <f>HYPERLINK("D:\python\英语学习\voices\"&amp;B2894&amp;"_2.mp3","AmE")</f>
        <v/>
      </c>
      <c r="I2894" s="18">
        <f>HYPERLINK("http://dict.youdao.com/w/"&amp;B2894,"有道")</f>
        <v/>
      </c>
    </row>
    <row customHeight="1" ht="42.75" r="2895">
      <c r="A2895" s="1" t="inlineStr">
        <is>
          <t>practice</t>
        </is>
      </c>
      <c r="B2895" s="1" t="inlineStr">
        <is>
          <t>repent</t>
        </is>
      </c>
      <c r="C2895" s="7">
        <f>"vi. 后悔；忏悔"&amp;CHAR(10)&amp;"vt. 后悔；对…感到后悔"&amp;CHAR(10)&amp;"adj. [植] 匍匐生根的；[动] 爬行的"</f>
        <v/>
      </c>
      <c r="G2895" s="18">
        <f>HYPERLINK("D:\python\英语学习\voices\"&amp;B2895&amp;"_1.mp3","BrE")</f>
        <v/>
      </c>
      <c r="H2895" s="18">
        <f>HYPERLINK("D:\python\英语学习\voices\"&amp;B2895&amp;"_2.mp3","AmE")</f>
        <v/>
      </c>
      <c r="I2895" s="18">
        <f>HYPERLINK("http://dict.youdao.com/w/"&amp;B2895,"有道")</f>
        <v/>
      </c>
    </row>
    <row r="2896">
      <c r="B2896" s="1" t="inlineStr">
        <is>
          <t>outspoken</t>
        </is>
      </c>
      <c r="C2896" s="7">
        <f>"adj. 坦率的，直言不讳的"</f>
        <v/>
      </c>
      <c r="G2896" s="18">
        <f>HYPERLINK("D:\python\英语学习\voices\"&amp;B2896&amp;"_1.mp3","BrE")</f>
        <v/>
      </c>
      <c r="H2896" s="18">
        <f>HYPERLINK("D:\python\英语学习\voices\"&amp;B2896&amp;"_2.mp3","AmE")</f>
        <v/>
      </c>
      <c r="I2896" s="18">
        <f>HYPERLINK("http://dict.youdao.com/w/"&amp;B2896,"有道")</f>
        <v/>
      </c>
    </row>
    <row customHeight="1" ht="57" r="2897">
      <c r="B2897" s="1" t="inlineStr">
        <is>
          <t>pending</t>
        </is>
      </c>
      <c r="C2897" s="7">
        <f>"adj. 未决定的；行将发生的"&amp;CHAR(10)&amp;"prep. 在…期间；直到…时为止；在等待…之际"&amp;CHAR(10)&amp;"v. 待定；悬而不决（pend的ing形式）"&amp;CHAR(10)&amp;"n. (Pending)人名；(瑞典)彭丁"</f>
        <v/>
      </c>
      <c r="G2897" s="18">
        <f>HYPERLINK("D:\python\英语学习\voices\"&amp;B2897&amp;"_1.mp3","BrE")</f>
        <v/>
      </c>
      <c r="H2897" s="18">
        <f>HYPERLINK("D:\python\英语学习\voices\"&amp;B2897&amp;"_2.mp3","AmE")</f>
        <v/>
      </c>
      <c r="I2897" s="18">
        <f>HYPERLINK("http://dict.youdao.com/w/"&amp;B2897,"有道")</f>
        <v/>
      </c>
    </row>
    <row customHeight="1" ht="29.1" r="2898">
      <c r="B2898" s="1" t="inlineStr">
        <is>
          <t>perpetual</t>
        </is>
      </c>
      <c r="C2898" s="7">
        <f>"adj. 永久的；不断的；四季开花的；无期限的"</f>
        <v/>
      </c>
      <c r="G2898" s="18">
        <f>HYPERLINK("D:\python\英语学习\voices\"&amp;B2898&amp;"_1.mp3","BrE")</f>
        <v/>
      </c>
      <c r="H2898" s="18">
        <f>HYPERLINK("D:\python\英语学习\voices\"&amp;B2898&amp;"_2.mp3","AmE")</f>
        <v/>
      </c>
      <c r="I2898" s="18">
        <f>HYPERLINK("http://dict.youdao.com/w/"&amp;B2898,"有道")</f>
        <v/>
      </c>
    </row>
    <row r="2899">
      <c r="B2899" s="1" t="inlineStr">
        <is>
          <t>persuasive</t>
        </is>
      </c>
      <c r="C2899" s="7">
        <f>"adj. 有说服力的；劝诱的，劝说的"</f>
        <v/>
      </c>
      <c r="G2899" s="18">
        <f>HYPERLINK("D:\python\英语学习\voices\"&amp;B2899&amp;"_1.mp3","BrE")</f>
        <v/>
      </c>
      <c r="H2899" s="18">
        <f>HYPERLINK("D:\python\英语学习\voices\"&amp;B2899&amp;"_2.mp3","AmE")</f>
        <v/>
      </c>
      <c r="I2899" s="18">
        <f>HYPERLINK("http://dict.youdao.com/w/"&amp;B2899,"有道")</f>
        <v/>
      </c>
    </row>
    <row r="2900">
      <c r="B2900" s="1" t="inlineStr">
        <is>
          <t>pervasive</t>
        </is>
      </c>
      <c r="C2900" s="7">
        <f>"adj. 普遍的；到处渗透的；流行的"</f>
        <v/>
      </c>
      <c r="G2900" s="18">
        <f>HYPERLINK("D:\python\英语学习\voices\"&amp;B2900&amp;"_1.mp3","BrE")</f>
        <v/>
      </c>
      <c r="H2900" s="18">
        <f>HYPERLINK("D:\python\英语学习\voices\"&amp;B2900&amp;"_2.mp3","AmE")</f>
        <v/>
      </c>
      <c r="I2900" s="18">
        <f>HYPERLINK("http://dict.youdao.com/w/"&amp;B2900,"有道")</f>
        <v/>
      </c>
    </row>
    <row customHeight="1" ht="28.5" r="2901">
      <c r="B2901" s="1" t="inlineStr">
        <is>
          <t>phony</t>
        </is>
      </c>
      <c r="C2901" s="7">
        <f>"adj. 假的，欺骗的"&amp;CHAR(10)&amp;"n. 假冒者；赝品"</f>
        <v/>
      </c>
      <c r="G2901" s="18">
        <f>HYPERLINK("D:\python\英语学习\voices\"&amp;B2901&amp;"_1.mp3","BrE")</f>
        <v/>
      </c>
      <c r="H2901" s="18">
        <f>HYPERLINK("D:\python\英语学习\voices\"&amp;B2901&amp;"_2.mp3","AmE")</f>
        <v/>
      </c>
      <c r="I2901" s="18">
        <f>HYPERLINK("http://dict.youdao.com/w/"&amp;B2901,"有道")</f>
        <v/>
      </c>
    </row>
    <row r="2902">
      <c r="B2902" s="1" t="inlineStr">
        <is>
          <t>unpromising</t>
        </is>
      </c>
      <c r="C2902" s="7">
        <f>"adj. 无前途的，没有希望的"</f>
        <v/>
      </c>
      <c r="G2902" s="18">
        <f>HYPERLINK("D:\python\英语学习\voices\"&amp;B2902&amp;"_1.mp3","BrE")</f>
        <v/>
      </c>
      <c r="H2902" s="18">
        <f>HYPERLINK("D:\python\英语学习\voices\"&amp;B2902&amp;"_2.mp3","AmE")</f>
        <v/>
      </c>
      <c r="I2902" s="18">
        <f>HYPERLINK("http://dict.youdao.com/w/"&amp;B2902,"有道")</f>
        <v/>
      </c>
    </row>
    <row customHeight="1" ht="42.75" r="2903">
      <c r="A2903" s="1" t="inlineStr">
        <is>
          <t>practice</t>
        </is>
      </c>
      <c r="B2903" s="1" t="inlineStr">
        <is>
          <t>depict</t>
        </is>
      </c>
      <c r="C2903" s="7">
        <f>"vt. 描述；描画"</f>
        <v/>
      </c>
      <c r="G2903" s="18">
        <f>HYPERLINK("D:\python\英语学习\voices\"&amp;B2903&amp;"_1.mp3","BrE")</f>
        <v/>
      </c>
      <c r="H2903" s="18">
        <f>HYPERLINK("D:\python\英语学习\voices\"&amp;B2903&amp;"_2.mp3","AmE")</f>
        <v/>
      </c>
      <c r="I2903" s="18">
        <f>HYPERLINK("http://dict.youdao.com/w/"&amp;B2903,"有道")</f>
        <v/>
      </c>
    </row>
    <row r="2904">
      <c r="B2904" s="1" t="inlineStr">
        <is>
          <t>abolish</t>
        </is>
      </c>
      <c r="C2904" s="7">
        <f>"vt. 废除，废止；取消，革除"</f>
        <v/>
      </c>
      <c r="G2904" s="18">
        <f>HYPERLINK("D:\python\英语学习\voices\"&amp;B2904&amp;"_1.mp3","BrE")</f>
        <v/>
      </c>
      <c r="H2904" s="18">
        <f>HYPERLINK("D:\python\英语学习\voices\"&amp;B2904&amp;"_2.mp3","AmE")</f>
        <v/>
      </c>
      <c r="I2904" s="18">
        <f>HYPERLINK("http://dict.youdao.com/w/"&amp;B2904,"有道")</f>
        <v/>
      </c>
    </row>
    <row customHeight="1" ht="28.5" r="2905">
      <c r="B2905" s="1" t="inlineStr">
        <is>
          <t>sluggish</t>
        </is>
      </c>
      <c r="C2905" s="7">
        <f>"adj. 萧条的；迟钝的；行动迟缓的；懒惰的"&amp;CHAR(10)&amp;"n. 市况呆滞；市势疲弱"</f>
        <v/>
      </c>
      <c r="G2905" s="18">
        <f>HYPERLINK("D:\python\英语学习\voices\"&amp;B2905&amp;"_1.mp3","BrE")</f>
        <v/>
      </c>
      <c r="H2905" s="18">
        <f>HYPERLINK("D:\python\英语学习\voices\"&amp;B2905&amp;"_2.mp3","AmE")</f>
        <v/>
      </c>
      <c r="I2905" s="18">
        <f>HYPERLINK("http://dict.youdao.com/w/"&amp;B2905,"有道")</f>
        <v/>
      </c>
    </row>
    <row customHeight="1" ht="71.25" r="2906">
      <c r="B2906" s="1" t="inlineStr">
        <is>
          <t>sweeping</t>
        </is>
      </c>
      <c r="C2906" s="7">
        <f>"adj. 影响广泛的；笼统的；规模大的；含丰富信息的；（投票等中的）大胜；弧线的；连绵曲折的；意义深远的"&amp;CHAR(10)&amp;"n. (sweepings) 扫集的尘土（或垃圾）；扫除"&amp;CHAR(10)&amp;"v. 打扫，扫除（sweep 的现在分词）"</f>
        <v/>
      </c>
      <c r="G2906" s="18">
        <f>HYPERLINK("D:\python\英语学习\voices\"&amp;B2906&amp;"_1.mp3","BrE")</f>
        <v/>
      </c>
      <c r="H2906" s="18">
        <f>HYPERLINK("D:\python\英语学习\voices\"&amp;B2906&amp;"_2.mp3","AmE")</f>
        <v/>
      </c>
      <c r="I2906" s="18">
        <f>HYPERLINK("http://dict.youdao.com/w/"&amp;B2906,"有道")</f>
        <v/>
      </c>
    </row>
    <row customHeight="1" ht="28.5" r="2907">
      <c r="A2907" s="1" t="inlineStr">
        <is>
          <t>practice</t>
        </is>
      </c>
      <c r="B2907" s="1" t="inlineStr">
        <is>
          <t>distaste</t>
        </is>
      </c>
      <c r="C2907" s="7">
        <f>"n. 厌恶；讨厌"&amp;CHAR(10)&amp;"vt. 厌恶；不喜欢"&amp;CHAR(10)&amp;"vi. 不喜欢"</f>
        <v/>
      </c>
      <c r="G2907" s="18">
        <f>HYPERLINK("D:\python\英语学习\voices\"&amp;B2907&amp;"_1.mp3","BrE")</f>
        <v/>
      </c>
      <c r="H2907" s="18">
        <f>HYPERLINK("D:\python\英语学习\voices\"&amp;B2907&amp;"_2.mp3","AmE")</f>
        <v/>
      </c>
      <c r="I2907" s="18">
        <f>HYPERLINK("http://dict.youdao.com/w/"&amp;B2907,"有道")</f>
        <v/>
      </c>
    </row>
    <row r="2908">
      <c r="A2908" s="1" t="inlineStr">
        <is>
          <t>practice</t>
        </is>
      </c>
      <c r="B2908" s="1" t="inlineStr">
        <is>
          <t>stupendous</t>
        </is>
      </c>
      <c r="C2908" s="7">
        <f>"adj. 惊人的；巨大的"</f>
        <v/>
      </c>
      <c r="G2908" s="18">
        <f>HYPERLINK("D:\python\英语学习\voices\"&amp;B2908&amp;"_1.mp3","BrE")</f>
        <v/>
      </c>
      <c r="H2908" s="18">
        <f>HYPERLINK("D:\python\英语学习\voices\"&amp;B2908&amp;"_2.mp3","AmE")</f>
        <v/>
      </c>
      <c r="I2908" s="18">
        <f>HYPERLINK("http://dict.youdao.com/w/"&amp;B2908,"有道")</f>
        <v/>
      </c>
    </row>
    <row r="2909">
      <c r="B2909" s="1" t="inlineStr">
        <is>
          <t>enormous</t>
        </is>
      </c>
      <c r="C2909" s="7">
        <f>"adj. 庞大的，巨大的；凶暴的，极恶的"</f>
        <v/>
      </c>
      <c r="E2909" s="6" t="inlineStr">
        <is>
          <t>同tremendous</t>
        </is>
      </c>
      <c r="G2909" s="18">
        <f>HYPERLINK("D:\python\英语学习\voices\"&amp;B2909&amp;"_1.mp3","BrE")</f>
        <v/>
      </c>
      <c r="H2909" s="18">
        <f>HYPERLINK("D:\python\英语学习\voices\"&amp;B2909&amp;"_2.mp3","AmE")</f>
        <v/>
      </c>
      <c r="I2909" s="18">
        <f>HYPERLINK("http://dict.youdao.com/w/"&amp;B2909,"有道")</f>
        <v/>
      </c>
    </row>
    <row customHeight="1" ht="28.5" r="2910">
      <c r="A2910" s="1" t="inlineStr">
        <is>
          <t>practice</t>
        </is>
      </c>
      <c r="B2910" s="1" t="inlineStr">
        <is>
          <t>carcass</t>
        </is>
      </c>
      <c r="C2910" s="7">
        <f>"n. （人或动物的）尸体；残骸；（除脏去头备食用的）畜体"</f>
        <v/>
      </c>
      <c r="G2910" s="18">
        <f>HYPERLINK("D:\python\英语学习\voices\"&amp;B2910&amp;"_1.mp3","BrE")</f>
        <v/>
      </c>
      <c r="H2910" s="18">
        <f>HYPERLINK("D:\python\英语学习\voices\"&amp;B2910&amp;"_2.mp3","AmE")</f>
        <v/>
      </c>
      <c r="I2910" s="18">
        <f>HYPERLINK("http://dict.youdao.com/w/"&amp;B2910,"有道")</f>
        <v/>
      </c>
    </row>
    <row customHeight="1" ht="42.75" r="2911">
      <c r="A2911" s="1" t="inlineStr">
        <is>
          <t>practice</t>
        </is>
      </c>
      <c r="B2911" s="1" t="inlineStr">
        <is>
          <t>flaunt</t>
        </is>
      </c>
      <c r="C2911" s="7">
        <f>"vt. 炫耀；飘扬"&amp;CHAR(10)&amp;"vi. 飘扬；夸耀"&amp;CHAR(10)&amp;"n. 炫耀；飘扬；招展"</f>
        <v/>
      </c>
      <c r="G2911" s="18">
        <f>HYPERLINK("D:\python\英语学习\voices\"&amp;B2911&amp;"_1.mp3","BrE")</f>
        <v/>
      </c>
      <c r="H2911" s="18">
        <f>HYPERLINK("D:\python\英语学习\voices\"&amp;B2911&amp;"_2.mp3","AmE")</f>
        <v/>
      </c>
      <c r="I2911" s="18">
        <f>HYPERLINK("http://dict.youdao.com/w/"&amp;B2911,"有道")</f>
        <v/>
      </c>
    </row>
    <row customHeight="1" ht="57" r="2912">
      <c r="B2912" s="1" t="inlineStr">
        <is>
          <t>volatile</t>
        </is>
      </c>
      <c r="C2912" s="7">
        <f>"adj. [化学] 挥发性的；不稳定的；爆炸性的；反复无常的"&amp;CHAR(10)&amp;"n. 挥发物；有翅的动物"&amp;CHAR(10)&amp;"n. (Volatile)人名；(意)沃拉蒂莱"</f>
        <v/>
      </c>
      <c r="G2912" s="18">
        <f>HYPERLINK("D:\python\英语学习\voices\"&amp;B2912&amp;"_1.mp3","BrE")</f>
        <v/>
      </c>
      <c r="H2912" s="18">
        <f>HYPERLINK("D:\python\英语学习\voices\"&amp;B2912&amp;"_2.mp3","AmE")</f>
        <v/>
      </c>
      <c r="I2912" s="18">
        <f>HYPERLINK("http://dict.youdao.com/w/"&amp;B2912,"有道")</f>
        <v/>
      </c>
    </row>
    <row customHeight="1" ht="42.75" r="2913">
      <c r="A2913" s="1" t="inlineStr">
        <is>
          <t>practice</t>
        </is>
      </c>
      <c r="B2913" s="1" t="inlineStr">
        <is>
          <t>elude</t>
        </is>
      </c>
      <c r="C2913" s="7">
        <f>"vt. （尤指机智地，巧妙地）避开，逃避，躲避"&amp;CHAR(10)&amp;"vt. 使无法得到；使无法达到"&amp;CHAR(10)&amp;"vt. 使不记得；使不理解"</f>
        <v/>
      </c>
      <c r="G2913" s="18">
        <f>HYPERLINK("D:\python\英语学习\voices\"&amp;B2913&amp;"_1.mp3","BrE")</f>
        <v/>
      </c>
      <c r="H2913" s="18">
        <f>HYPERLINK("D:\python\英语学习\voices\"&amp;B2913&amp;"_2.mp3","AmE")</f>
        <v/>
      </c>
      <c r="I2913" s="18">
        <f>HYPERLINK("http://dict.youdao.com/w/"&amp;B2913,"有道")</f>
        <v/>
      </c>
    </row>
    <row customHeight="1" ht="28.5" r="2914">
      <c r="B2914" s="1" t="inlineStr">
        <is>
          <t>arouse</t>
        </is>
      </c>
      <c r="C2914" s="7">
        <f>"vt. 引起；唤醒；鼓励"&amp;CHAR(10)&amp;"vi. 激发；醒来；发奋"</f>
        <v/>
      </c>
      <c r="G2914" s="18">
        <f>HYPERLINK("D:\python\英语学习\voices\"&amp;B2914&amp;"_1.mp3","BrE")</f>
        <v/>
      </c>
      <c r="H2914" s="18">
        <f>HYPERLINK("D:\python\英语学习\voices\"&amp;B2914&amp;"_2.mp3","AmE")</f>
        <v/>
      </c>
      <c r="I2914" s="18">
        <f>HYPERLINK("http://dict.youdao.com/w/"&amp;B2914,"有道")</f>
        <v/>
      </c>
    </row>
    <row customHeight="1" ht="28.5" r="2915">
      <c r="B2915" s="1" t="inlineStr">
        <is>
          <t>assemble</t>
        </is>
      </c>
      <c r="C2915" s="7">
        <f>"vt. 集合，聚集；装配；收集"&amp;CHAR(10)&amp;"vi. 集合，聚集"</f>
        <v/>
      </c>
      <c r="E2915" s="6" t="inlineStr">
        <is>
          <t>the freedom of assemble</t>
        </is>
      </c>
      <c r="G2915" s="18">
        <f>HYPERLINK("D:\python\英语学习\voices\"&amp;B2915&amp;"_1.mp3","BrE")</f>
        <v/>
      </c>
      <c r="H2915" s="18">
        <f>HYPERLINK("D:\python\英语学习\voices\"&amp;B2915&amp;"_2.mp3","AmE")</f>
        <v/>
      </c>
      <c r="I2915" s="18">
        <f>HYPERLINK("http://dict.youdao.com/w/"&amp;B2915,"有道")</f>
        <v/>
      </c>
    </row>
    <row r="2916">
      <c r="B2916" s="1" t="inlineStr">
        <is>
          <t>assert</t>
        </is>
      </c>
      <c r="C2916" s="7">
        <f>"vt. 维护，坚持；断言；主张；声称"</f>
        <v/>
      </c>
      <c r="G2916" s="18">
        <f>HYPERLINK("D:\python\英语学习\voices\"&amp;B2916&amp;"_1.mp3","BrE")</f>
        <v/>
      </c>
      <c r="H2916" s="18">
        <f>HYPERLINK("D:\python\英语学习\voices\"&amp;B2916&amp;"_2.mp3","AmE")</f>
        <v/>
      </c>
      <c r="I2916" s="18">
        <f>HYPERLINK("http://dict.youdao.com/w/"&amp;B2916,"有道")</f>
        <v/>
      </c>
    </row>
    <row customHeight="1" ht="71.25" r="2917">
      <c r="A2917" s="1" t="inlineStr">
        <is>
          <t>practice</t>
        </is>
      </c>
      <c r="B2917" s="1" t="inlineStr">
        <is>
          <t>adulation</t>
        </is>
      </c>
      <c r="C2917" s="7">
        <f>"n. 奉承；谄媚"</f>
        <v/>
      </c>
      <c r="G2917" s="18">
        <f>HYPERLINK("D:\python\英语学习\voices\"&amp;B2917&amp;"_1.mp3","BrE")</f>
        <v/>
      </c>
      <c r="H2917" s="18">
        <f>HYPERLINK("D:\python\英语学习\voices\"&amp;B2917&amp;"_2.mp3","AmE")</f>
        <v/>
      </c>
      <c r="I2917" s="18">
        <f>HYPERLINK("http://dict.youdao.com/w/"&amp;B2917,"有道")</f>
        <v/>
      </c>
    </row>
    <row r="2918">
      <c r="B2918" s="1" t="inlineStr">
        <is>
          <t>assure</t>
        </is>
      </c>
      <c r="C2918" s="7">
        <f>"vt. 保证；担保；使确信；弄清楚"</f>
        <v/>
      </c>
      <c r="G2918" s="18">
        <f>HYPERLINK("D:\python\英语学习\voices\"&amp;B2918&amp;"_1.mp3","BrE")</f>
        <v/>
      </c>
      <c r="H2918" s="18">
        <f>HYPERLINK("D:\python\英语学习\voices\"&amp;B2918&amp;"_2.mp3","AmE")</f>
        <v/>
      </c>
      <c r="I2918" s="18">
        <f>HYPERLINK("http://dict.youdao.com/w/"&amp;B2918,"有道")</f>
        <v/>
      </c>
    </row>
    <row customHeight="1" ht="57" r="2919">
      <c r="B2919" s="1" t="inlineStr">
        <is>
          <t>boast</t>
        </is>
      </c>
      <c r="C2919" s="7">
        <f>"vt. 夸口说，自吹自擂说；以有…而自豪"&amp;CHAR(10)&amp;"n. 自夸；值得夸耀的事物，引以为荣的事物"&amp;CHAR(10)&amp;"vi. 自吹自擂"&amp;CHAR(10)&amp;"n. (Boast)人名；(英)博斯特"</f>
        <v/>
      </c>
      <c r="G2919" s="18">
        <f>HYPERLINK("D:\python\英语学习\voices\"&amp;B2919&amp;"_1.mp3","BrE")</f>
        <v/>
      </c>
      <c r="H2919" s="18">
        <f>HYPERLINK("D:\python\英语学习\voices\"&amp;B2919&amp;"_2.mp3","AmE")</f>
        <v/>
      </c>
      <c r="I2919" s="18">
        <f>HYPERLINK("http://dict.youdao.com/w/"&amp;B2919,"有道")</f>
        <v/>
      </c>
    </row>
    <row customHeight="1" ht="57" r="2920">
      <c r="B2920" s="1" t="inlineStr">
        <is>
          <t>champion</t>
        </is>
      </c>
      <c r="C2920" s="7">
        <f>"n. 冠军；拥护者；战士"&amp;CHAR(10)&amp;"vt. 支持；拥护"&amp;CHAR(10)&amp;"adj. 优胜的；第一流的"&amp;CHAR(10)&amp;"n. (Champion)人名；(英)钱皮恩；(法)尚皮翁"</f>
        <v/>
      </c>
      <c r="E2920" s="6" t="inlineStr">
        <is>
          <t>动词-提倡</t>
        </is>
      </c>
      <c r="G2920" s="18">
        <f>HYPERLINK("D:\python\英语学习\voices\"&amp;B2920&amp;"_1.mp3","BrE")</f>
        <v/>
      </c>
      <c r="H2920" s="18">
        <f>HYPERLINK("D:\python\英语学习\voices\"&amp;B2920&amp;"_2.mp3","AmE")</f>
        <v/>
      </c>
      <c r="I2920" s="18">
        <f>HYPERLINK("http://dict.youdao.com/w/"&amp;B2920,"有道")</f>
        <v/>
      </c>
    </row>
    <row customHeight="1" ht="57" r="2921">
      <c r="B2921" s="1" t="inlineStr">
        <is>
          <t>collapse</t>
        </is>
      </c>
      <c r="C2921" s="7">
        <f>"v. （突然）倒塌；（尤指因病重而）倒下，昏倒；（尤指工作劳累后）坐下；崩溃；（货币）贬值；折叠；（肺或血管）萎陷；套缩"&amp;CHAR(10)&amp;"n. 崩溃；（突然）倒塌；病倒；（货币）暴跌"</f>
        <v/>
      </c>
      <c r="G2921" s="18">
        <f>HYPERLINK("D:\python\英语学习\voices\"&amp;B2921&amp;"_1.mp3","BrE")</f>
        <v/>
      </c>
      <c r="H2921" s="18">
        <f>HYPERLINK("D:\python\英语学习\voices\"&amp;B2921&amp;"_2.mp3","AmE")</f>
        <v/>
      </c>
      <c r="I2921" s="18">
        <f>HYPERLINK("http://dict.youdao.com/w/"&amp;B2921,"有道")</f>
        <v/>
      </c>
    </row>
    <row customHeight="1" ht="28.5" r="2922">
      <c r="A2922" s="1" t="inlineStr">
        <is>
          <t>practice</t>
        </is>
      </c>
      <c r="B2922" s="1" t="inlineStr">
        <is>
          <t>articulate</t>
        </is>
      </c>
      <c r="C2922" s="7">
        <f>"vt. 清晰地发（音）；明确有力地表达；用关节连接；使相互连贯"&amp;CHAR(10)&amp;"vi. 发音；清楚地讲话；用关节连接起来"&amp;CHAR(10)&amp;"adj. 发音清晰的；口才好的；有关节的"&amp;CHAR(10)&amp;"n. 【动物学】有节体的动物"</f>
        <v/>
      </c>
      <c r="E2922" s="6" t="inlineStr">
        <is>
          <t>清楚说明</t>
        </is>
      </c>
      <c r="G2922" s="18">
        <f>HYPERLINK("D:\python\英语学习\voices\"&amp;B2922&amp;"_1.mp3","BrE")</f>
        <v/>
      </c>
      <c r="H2922" s="18">
        <f>HYPERLINK("D:\python\英语学习\voices\"&amp;B2922&amp;"_2.mp3","AmE")</f>
        <v/>
      </c>
      <c r="I2922" s="18">
        <f>HYPERLINK("http://dict.youdao.com/w/"&amp;B2922,"有道")</f>
        <v/>
      </c>
    </row>
    <row customHeight="1" ht="57" r="2923">
      <c r="B2923" s="1" t="inlineStr">
        <is>
          <t>compromise</t>
        </is>
      </c>
      <c r="C2923" s="7">
        <f>"n. 妥协，和解；妥协（或折中）方案；达成妥协"&amp;CHAR(10)&amp;"v. 妥协，折中；违背（原则），达不到（标准）；（因行为不当）使陷入危险，名誉受损"</f>
        <v/>
      </c>
      <c r="G2923" s="18">
        <f>HYPERLINK("D:\python\英语学习\voices\"&amp;B2923&amp;"_1.mp3","BrE")</f>
        <v/>
      </c>
      <c r="H2923" s="18">
        <f>HYPERLINK("D:\python\英语学习\voices\"&amp;B2923&amp;"_2.mp3","AmE")</f>
        <v/>
      </c>
      <c r="I2923" s="18">
        <f>HYPERLINK("http://dict.youdao.com/w/"&amp;B2923,"有道")</f>
        <v/>
      </c>
    </row>
    <row r="2924">
      <c r="B2924" s="1" t="inlineStr">
        <is>
          <t>condemn</t>
        </is>
      </c>
      <c r="C2924" s="7">
        <f>"vt. 谴责；判刑，定罪；声讨"</f>
        <v/>
      </c>
      <c r="G2924" s="18">
        <f>HYPERLINK("D:\python\英语学习\voices\"&amp;B2924&amp;"_1.mp3","BrE")</f>
        <v/>
      </c>
      <c r="H2924" s="18">
        <f>HYPERLINK("D:\python\英语学习\voices\"&amp;B2924&amp;"_2.mp3","AmE")</f>
        <v/>
      </c>
      <c r="I2924" s="18">
        <f>HYPERLINK("http://dict.youdao.com/w/"&amp;B2924,"有道")</f>
        <v/>
      </c>
    </row>
    <row customHeight="1" ht="57" r="2925">
      <c r="B2925" s="1" t="inlineStr">
        <is>
          <t>convert</t>
        </is>
      </c>
      <c r="C2925" s="7">
        <f>"vt. 使转变；转换…；使…改变信仰"&amp;CHAR(10)&amp;"vi. 转变，变换；皈依；改变信仰"&amp;CHAR(10)&amp;"n. 皈依者；改变宗教信仰者"&amp;CHAR(10)&amp;"n. (Convert)人名；(法)孔韦尔"</f>
        <v/>
      </c>
      <c r="G2925" s="18">
        <f>HYPERLINK("D:\python\英语学习\voices\"&amp;B2925&amp;"_1.mp3","BrE")</f>
        <v/>
      </c>
      <c r="H2925" s="18">
        <f>HYPERLINK("D:\python\英语学习\voices\"&amp;B2925&amp;"_2.mp3","AmE")</f>
        <v/>
      </c>
      <c r="I2925" s="18">
        <f>HYPERLINK("http://dict.youdao.com/w/"&amp;B2925,"有道")</f>
        <v/>
      </c>
    </row>
    <row customHeight="1" ht="28.5" r="2926">
      <c r="B2926" s="1" t="inlineStr">
        <is>
          <t>contemplate</t>
        </is>
      </c>
      <c r="C2926" s="7">
        <f>"vt. 沉思；注视；思忖；预期"&amp;CHAR(10)&amp;"vi. 冥思苦想；深思熟虑"</f>
        <v/>
      </c>
      <c r="D2926" t="inlineStr">
        <is>
          <t>temple-太阳穴</t>
        </is>
      </c>
      <c r="G2926" s="18">
        <f>HYPERLINK("D:\python\英语学习\voices\"&amp;B2926&amp;"_1.mp3","BrE")</f>
        <v/>
      </c>
      <c r="H2926" s="18">
        <f>HYPERLINK("D:\python\英语学习\voices\"&amp;B2926&amp;"_2.mp3","AmE")</f>
        <v/>
      </c>
      <c r="I2926" s="18">
        <f>HYPERLINK("http://dict.youdao.com/w/"&amp;B2926,"有道")</f>
        <v/>
      </c>
    </row>
    <row customHeight="1" ht="42.75" r="2927">
      <c r="B2927" s="1" t="inlineStr">
        <is>
          <t>cope</t>
        </is>
      </c>
      <c r="C2927" s="7">
        <f>"vi. 处理；对付；竞争"&amp;CHAR(10)&amp;"n. 长袍"&amp;CHAR(10)&amp;"n. (Cope)人名；(英)科普；(西)科佩"</f>
        <v/>
      </c>
      <c r="E2927" s="6" t="inlineStr">
        <is>
          <t>cope with</t>
        </is>
      </c>
      <c r="G2927" s="18">
        <f>HYPERLINK("D:\python\英语学习\voices\"&amp;B2927&amp;"_1.mp3","BrE")</f>
        <v/>
      </c>
      <c r="H2927" s="18">
        <f>HYPERLINK("D:\python\英语学习\voices\"&amp;B2927&amp;"_2.mp3","AmE")</f>
        <v/>
      </c>
      <c r="I2927" s="18">
        <f>HYPERLINK("http://dict.youdao.com/w/"&amp;B2927,"有道")</f>
        <v/>
      </c>
    </row>
    <row customHeight="1" ht="28.5" r="2928">
      <c r="B2928" s="1" t="inlineStr">
        <is>
          <t>deteriorate</t>
        </is>
      </c>
      <c r="C2928" s="7">
        <f>"vi. 恶化，变坏"&amp;CHAR(10)&amp;"vt. 恶化"</f>
        <v/>
      </c>
      <c r="E2928" s="7" t="inlineStr">
        <is>
          <t>注意拼写-rio
同义词aggravate</t>
        </is>
      </c>
      <c r="G2928" s="18">
        <f>HYPERLINK("D:\python\英语学习\voices\"&amp;B2928&amp;"_1.mp3","BrE")</f>
        <v/>
      </c>
      <c r="H2928" s="18">
        <f>HYPERLINK("D:\python\英语学习\voices\"&amp;B2928&amp;"_2.mp3","AmE")</f>
        <v/>
      </c>
      <c r="I2928" s="18">
        <f>HYPERLINK("http://dict.youdao.com/w/"&amp;B2928,"有道")</f>
        <v/>
      </c>
    </row>
    <row r="2929">
      <c r="B2929" s="1" t="inlineStr">
        <is>
          <t>displace</t>
        </is>
      </c>
      <c r="C2929" s="7">
        <f>"vt. 取代；置换；转移；把…免职；排水"</f>
        <v/>
      </c>
      <c r="E2929" s="6" t="inlineStr">
        <is>
          <t>和replace比更强制，强迫</t>
        </is>
      </c>
      <c r="G2929" s="18">
        <f>HYPERLINK("D:\python\英语学习\voices\"&amp;B2929&amp;"_1.mp3","BrE")</f>
        <v/>
      </c>
      <c r="H2929" s="18">
        <f>HYPERLINK("D:\python\英语学习\voices\"&amp;B2929&amp;"_2.mp3","AmE")</f>
        <v/>
      </c>
      <c r="I2929" s="18">
        <f>HYPERLINK("http://dict.youdao.com/w/"&amp;B2929,"有道")</f>
        <v/>
      </c>
    </row>
    <row customHeight="1" ht="42.75" r="2930">
      <c r="B2930" s="1" t="inlineStr">
        <is>
          <t>embrace</t>
        </is>
      </c>
      <c r="C2930" s="7">
        <f>"vt. 拥抱；信奉，皈依；包含"&amp;CHAR(10)&amp;"vi. 拥抱"&amp;CHAR(10)&amp;"n. 拥抱"</f>
        <v/>
      </c>
      <c r="E2930" s="6" t="inlineStr">
        <is>
          <t>注意发音-im</t>
        </is>
      </c>
      <c r="G2930" s="18">
        <f>HYPERLINK("D:\python\英语学习\voices\"&amp;B2930&amp;"_1.mp3","BrE")</f>
        <v/>
      </c>
      <c r="H2930" s="18">
        <f>HYPERLINK("D:\python\英语学习\voices\"&amp;B2930&amp;"_2.mp3","AmE")</f>
        <v/>
      </c>
      <c r="I2930" s="18">
        <f>HYPERLINK("http://dict.youdao.com/w/"&amp;B2930,"有道")</f>
        <v/>
      </c>
    </row>
    <row r="2931">
      <c r="A2931" s="1" t="inlineStr">
        <is>
          <t>practice</t>
        </is>
      </c>
      <c r="B2931" s="1" t="inlineStr">
        <is>
          <t>contender</t>
        </is>
      </c>
      <c r="C2931" s="7">
        <f>"n. 竞争者；争夺者"</f>
        <v/>
      </c>
      <c r="G2931" s="18">
        <f>HYPERLINK("D:\python\英语学习\voices\"&amp;B2931&amp;"_1.mp3","BrE")</f>
        <v/>
      </c>
      <c r="H2931" s="18">
        <f>HYPERLINK("D:\python\英语学习\voices\"&amp;B2931&amp;"_2.mp3","AmE")</f>
        <v/>
      </c>
      <c r="I2931" s="18">
        <f>HYPERLINK("http://dict.youdao.com/w/"&amp;B2931,"有道")</f>
        <v/>
      </c>
    </row>
    <row customHeight="1" ht="42.75" r="2932">
      <c r="B2932" s="1" t="inlineStr">
        <is>
          <t>grail</t>
        </is>
      </c>
      <c r="C2932" s="7">
        <f>"n. 杯；圣杯（传说中耶稣最后晚餐所用之杯）；大盘；长期以来梦寐以求的东西"&amp;CHAR(10)&amp;"n. (Grail)人名；(法)格拉伊"</f>
        <v/>
      </c>
      <c r="E2932" s="6" t="inlineStr">
        <is>
          <t>Holy Grail圣杯--耶稣最后晚餐时用的圣杯，成为中世纪武士一生追寻的圣物，引申为神圣的目标</t>
        </is>
      </c>
      <c r="G2932" s="18">
        <f>HYPERLINK("D:\python\英语学习\voices\"&amp;B2932&amp;"_1.mp3","BrE")</f>
        <v/>
      </c>
      <c r="H2932" s="18">
        <f>HYPERLINK("D:\python\英语学习\voices\"&amp;B2932&amp;"_2.mp3","AmE")</f>
        <v/>
      </c>
      <c r="I2932" s="18">
        <f>HYPERLINK("http://dict.youdao.com/w/"&amp;B2932,"有道")</f>
        <v/>
      </c>
    </row>
    <row customHeight="1" ht="28.5" r="2933">
      <c r="A2933" s="1" t="inlineStr">
        <is>
          <t>practice</t>
        </is>
      </c>
      <c r="B2933" s="1" t="inlineStr">
        <is>
          <t>resort</t>
        </is>
      </c>
      <c r="C2933" s="7">
        <f>"n. 凭借，手段；度假胜地；常去之地"&amp;CHAR(10)&amp;"vi. 求助，诉诸；常去；采取某手段或方法"</f>
        <v/>
      </c>
      <c r="E2933" s="6" t="inlineStr">
        <is>
          <t>用得好很好 resort to violence</t>
        </is>
      </c>
      <c r="G2933" s="18">
        <f>HYPERLINK("D:\python\英语学习\voices\"&amp;B2933&amp;"_1.mp3","BrE")</f>
        <v/>
      </c>
      <c r="H2933" s="18">
        <f>HYPERLINK("D:\python\英语学习\voices\"&amp;B2933&amp;"_2.mp3","AmE")</f>
        <v/>
      </c>
      <c r="I2933" s="18">
        <f>HYPERLINK("http://dict.youdao.com/w/"&amp;B2933,"有道")</f>
        <v/>
      </c>
    </row>
    <row customHeight="1" ht="28.5" r="2934">
      <c r="B2934" s="1" t="inlineStr">
        <is>
          <t>fascinate</t>
        </is>
      </c>
      <c r="C2934" s="7">
        <f>"v. 使着迷，使神魂颠倒；（尤指蛇）以眼神震慑（人或动物），使无法动弹"</f>
        <v/>
      </c>
      <c r="E2934" t="inlineStr">
        <is>
          <t>用mesmerize替换</t>
        </is>
      </c>
      <c r="G2934" s="18">
        <f>HYPERLINK("D:\python\英语学习\voices\"&amp;B2934&amp;"_1.mp3","BrE")</f>
        <v/>
      </c>
      <c r="H2934" s="18">
        <f>HYPERLINK("D:\python\英语学习\voices\"&amp;B2934&amp;"_2.mp3","AmE")</f>
        <v/>
      </c>
      <c r="I2934" s="18">
        <f>HYPERLINK("http://dict.youdao.com/w/"&amp;B2934,"有道")</f>
        <v/>
      </c>
    </row>
    <row customHeight="1" ht="28.5" r="2935">
      <c r="B2935" s="1" t="inlineStr">
        <is>
          <t>exceed</t>
        </is>
      </c>
      <c r="C2935" s="7">
        <f>"vt. 超过；胜过"&amp;CHAR(10)&amp;"vi. 超过其他"</f>
        <v/>
      </c>
      <c r="G2935" s="18">
        <f>HYPERLINK("D:\python\英语学习\voices\"&amp;B2935&amp;"_1.mp3","BrE")</f>
        <v/>
      </c>
      <c r="H2935" s="18">
        <f>HYPERLINK("D:\python\英语学习\voices\"&amp;B2935&amp;"_2.mp3","AmE")</f>
        <v/>
      </c>
      <c r="I2935" s="18">
        <f>HYPERLINK("http://dict.youdao.com/w/"&amp;B2935,"有道")</f>
        <v/>
      </c>
    </row>
    <row customHeight="1" ht="42.75" r="2936">
      <c r="B2936" s="1" t="inlineStr">
        <is>
          <t>exhibit</t>
        </is>
      </c>
      <c r="C2936" s="7">
        <f>"vt. 展览；显示；提出（证据等）"&amp;CHAR(10)&amp;"n. 展览品；证据；展示会"&amp;CHAR(10)&amp;"vi. 展出；开展览会"</f>
        <v/>
      </c>
      <c r="G2936" s="18">
        <f>HYPERLINK("D:\python\英语学习\voices\"&amp;B2936&amp;"_1.mp3","BrE")</f>
        <v/>
      </c>
      <c r="H2936" s="18">
        <f>HYPERLINK("D:\python\英语学习\voices\"&amp;B2936&amp;"_2.mp3","AmE")</f>
        <v/>
      </c>
      <c r="I2936" s="18">
        <f>HYPERLINK("http://dict.youdao.com/w/"&amp;B2936,"有道")</f>
        <v/>
      </c>
    </row>
    <row customHeight="1" ht="57" r="2937">
      <c r="B2937" s="1" t="inlineStr">
        <is>
          <t>flourish</t>
        </is>
      </c>
      <c r="C2937" s="7">
        <f>"v. 繁荣，茂盛；茁壮成长，处于旺盛时期；挥舞；炫耀"&amp;CHAR(10)&amp;"n. 夸张动作；出色部分；华丽辞藻；花彩字；（管弦乐）花彩号声"</f>
        <v/>
      </c>
      <c r="E2937" s="6" t="inlineStr">
        <is>
          <t>flour-面粉</t>
        </is>
      </c>
      <c r="G2937" s="18">
        <f>HYPERLINK("D:\python\英语学习\voices\"&amp;B2937&amp;"_1.mp3","BrE")</f>
        <v/>
      </c>
      <c r="H2937" s="18">
        <f>HYPERLINK("D:\python\英语学习\voices\"&amp;B2937&amp;"_2.mp3","AmE")</f>
        <v/>
      </c>
      <c r="I2937" s="18">
        <f>HYPERLINK("http://dict.youdao.com/w/"&amp;B2937,"有道")</f>
        <v/>
      </c>
    </row>
    <row customHeight="1" ht="71.25" r="2938">
      <c r="A2938" s="1" t="inlineStr">
        <is>
          <t>practice</t>
        </is>
      </c>
      <c r="B2938" s="1" t="inlineStr">
        <is>
          <t>inscrutable</t>
        </is>
      </c>
      <c r="C2938" s="7">
        <f>"adj. 神秘的；不可理解的；不能预测的；不可思议的"</f>
        <v/>
      </c>
      <c r="D2938" s="6" t="inlineStr">
        <is>
          <t>scrutiny n.仔细看 不能仔细看的神秘的，不可预测的</t>
        </is>
      </c>
      <c r="G2938" s="18">
        <f>HYPERLINK("D:\python\英语学习\voices\"&amp;B2938&amp;"_1.mp3","BrE")</f>
        <v/>
      </c>
      <c r="H2938" s="18">
        <f>HYPERLINK("D:\python\英语学习\voices\"&amp;B2938&amp;"_2.mp3","AmE")</f>
        <v/>
      </c>
      <c r="I2938" s="18">
        <f>HYPERLINK("http://dict.youdao.com/w/"&amp;B2938,"有道")</f>
        <v/>
      </c>
    </row>
    <row customHeight="1" ht="28.5" r="2939">
      <c r="A2939" t="inlineStr">
        <is>
          <t>practice</t>
        </is>
      </c>
      <c r="B2939" s="1" t="inlineStr">
        <is>
          <t>entail</t>
        </is>
      </c>
      <c r="C2939" s="7">
        <f>"vt. 使需要，必需；承担；遗传给；蕴含"&amp;CHAR(10)&amp;"n. 引起；需要；继承"</f>
        <v/>
      </c>
      <c r="G2939" s="18">
        <f>HYPERLINK("D:\python\英语学习\voices\"&amp;B2939&amp;"_1.mp3","BrE")</f>
        <v/>
      </c>
      <c r="H2939" s="18">
        <f>HYPERLINK("D:\python\英语学习\voices\"&amp;B2939&amp;"_2.mp3","AmE")</f>
        <v/>
      </c>
      <c r="I2939" s="18">
        <f>HYPERLINK("http://dict.youdao.com/w/"&amp;B2939,"有道")</f>
        <v/>
      </c>
    </row>
    <row customHeight="1" ht="28.5" r="2940">
      <c r="A2940" s="1" t="inlineStr">
        <is>
          <t>important</t>
        </is>
      </c>
      <c r="B2940" s="1" t="inlineStr">
        <is>
          <t>impose</t>
        </is>
      </c>
      <c r="C2940" s="7">
        <f>"vi. 利用；欺骗；施加影响"&amp;CHAR(10)&amp;"vt. 强加；征税；以…欺骗"</f>
        <v/>
      </c>
      <c r="G2940" s="18">
        <f>HYPERLINK("D:\python\英语学习\voices\"&amp;B2940&amp;"_1.mp3","BrE")</f>
        <v/>
      </c>
      <c r="H2940" s="18">
        <f>HYPERLINK("D:\python\英语学习\voices\"&amp;B2940&amp;"_2.mp3","AmE")</f>
        <v/>
      </c>
      <c r="I2940" s="18">
        <f>HYPERLINK("http://dict.youdao.com/w/"&amp;B2940,"有道")</f>
        <v/>
      </c>
    </row>
    <row r="2941">
      <c r="B2941" s="1" t="inlineStr">
        <is>
          <t>inspire</t>
        </is>
      </c>
      <c r="C2941" s="7">
        <f>"vt. 激发；鼓舞；启示；产生；使生灵感"</f>
        <v/>
      </c>
      <c r="G2941" s="18">
        <f>HYPERLINK("D:\python\英语学习\voices\"&amp;B2941&amp;"_1.mp3","BrE")</f>
        <v/>
      </c>
      <c r="H2941" s="18">
        <f>HYPERLINK("D:\python\英语学习\voices\"&amp;B2941&amp;"_2.mp3","AmE")</f>
        <v/>
      </c>
      <c r="I2941" s="18">
        <f>HYPERLINK("http://dict.youdao.com/w/"&amp;B2941,"有道")</f>
        <v/>
      </c>
    </row>
    <row customHeight="1" ht="42.75" r="2942">
      <c r="B2942" s="1" t="inlineStr">
        <is>
          <t>institute</t>
        </is>
      </c>
      <c r="C2942" s="7">
        <f>"n. （尤指科学、教育的）机构，研究所，学会；机构建筑；（与法律相关的）注释，概要"&amp;CHAR(10)&amp;"v. 实行，建立；授予……职位；提出（诉讼）"</f>
        <v/>
      </c>
      <c r="G2942" s="18">
        <f>HYPERLINK("D:\python\英语学习\voices\"&amp;B2942&amp;"_1.mp3","BrE")</f>
        <v/>
      </c>
      <c r="H2942" s="18">
        <f>HYPERLINK("D:\python\英语学习\voices\"&amp;B2942&amp;"_2.mp3","AmE")</f>
        <v/>
      </c>
      <c r="I2942" s="18">
        <f>HYPERLINK("http://dict.youdao.com/w/"&amp;B2942,"有道")</f>
        <v/>
      </c>
    </row>
    <row customHeight="1" ht="28.5" r="2943">
      <c r="B2943" s="1" t="inlineStr">
        <is>
          <t>invade</t>
        </is>
      </c>
      <c r="C2943" s="7">
        <f>"vt. 侵略；侵袭；侵扰；涌入"&amp;CHAR(10)&amp;"vi. 侵略；侵入；侵袭；侵犯"</f>
        <v/>
      </c>
      <c r="G2943" s="18">
        <f>HYPERLINK("D:\python\英语学习\voices\"&amp;B2943&amp;"_1.mp3","BrE")</f>
        <v/>
      </c>
      <c r="H2943" s="18">
        <f>HYPERLINK("D:\python\英语学习\voices\"&amp;B2943&amp;"_2.mp3","AmE")</f>
        <v/>
      </c>
      <c r="I2943" s="18">
        <f>HYPERLINK("http://dict.youdao.com/w/"&amp;B2943,"有道")</f>
        <v/>
      </c>
    </row>
    <row customHeight="1" ht="71.25" r="2944">
      <c r="A2944" s="1" t="inlineStr">
        <is>
          <t>practice</t>
        </is>
      </c>
      <c r="B2944" s="1" t="inlineStr">
        <is>
          <t>uppity</t>
        </is>
      </c>
      <c r="C2944" s="7">
        <f>"adj. 傲慢的；自负的；不易控制的"</f>
        <v/>
      </c>
      <c r="G2944" s="18">
        <f>HYPERLINK("D:\python\英语学习\voices\"&amp;B2944&amp;"_1.mp3","BrE")</f>
        <v/>
      </c>
      <c r="H2944" s="18">
        <f>HYPERLINK("D:\python\英语学习\voices\"&amp;B2944&amp;"_2.mp3","AmE")</f>
        <v/>
      </c>
      <c r="I2944" s="18">
        <f>HYPERLINK("http://dict.youdao.com/w/"&amp;B2944,"有道")</f>
        <v/>
      </c>
    </row>
    <row customHeight="1" ht="42.75" r="2945">
      <c r="B2945" s="1" t="inlineStr">
        <is>
          <t>plague</t>
        </is>
      </c>
      <c r="C2945" s="7">
        <f>"n. 瘟疫，鼠疫；灾祸，天灾；麻烦事，讨厌的人；愿上天降灾难于……（用于诅咒）"&amp;CHAR(10)&amp;"v. 使折磨，使苦恼；纠缠，缠扰；使得灾祸"</f>
        <v/>
      </c>
      <c r="E2945" s="6" t="inlineStr">
        <is>
          <t>好多意思-动词-使困扰，使烦恼</t>
        </is>
      </c>
      <c r="G2945" s="18">
        <f>HYPERLINK("D:\python\英语学习\voices\"&amp;B2945&amp;"_1.mp3","BrE")</f>
        <v/>
      </c>
      <c r="H2945" s="18">
        <f>HYPERLINK("D:\python\英语学习\voices\"&amp;B2945&amp;"_2.mp3","AmE")</f>
        <v/>
      </c>
      <c r="I2945" s="18">
        <f>HYPERLINK("http://dict.youdao.com/w/"&amp;B2945,"有道")</f>
        <v/>
      </c>
    </row>
    <row customHeight="1" ht="42.75" r="2946">
      <c r="B2946" s="1" t="inlineStr">
        <is>
          <t>ponder</t>
        </is>
      </c>
      <c r="C2946" s="7">
        <f>"vt. 仔细考虑；衡量"&amp;CHAR(10)&amp;"vi. 考虑；沉思"&amp;CHAR(10)&amp;"n. (Ponder)人名；(英)庞德"</f>
        <v/>
      </c>
      <c r="G2946" s="18">
        <f>HYPERLINK("D:\python\英语学习\voices\"&amp;B2946&amp;"_1.mp3","BrE")</f>
        <v/>
      </c>
      <c r="H2946" s="18">
        <f>HYPERLINK("D:\python\英语学习\voices\"&amp;B2946&amp;"_2.mp3","AmE")</f>
        <v/>
      </c>
      <c r="I2946" s="18">
        <f>HYPERLINK("http://dict.youdao.com/w/"&amp;B2946,"有道")</f>
        <v/>
      </c>
    </row>
    <row customHeight="1" ht="28.5" r="2947">
      <c r="B2947" s="1" t="inlineStr">
        <is>
          <t>pursue</t>
        </is>
      </c>
      <c r="C2947" s="7">
        <f>"vt. 继续；从事；追赶；纠缠"&amp;CHAR(10)&amp;"vi. 追赶；继续进行"</f>
        <v/>
      </c>
      <c r="G2947" s="18">
        <f>HYPERLINK("D:\python\英语学习\voices\"&amp;B2947&amp;"_1.mp3","BrE")</f>
        <v/>
      </c>
      <c r="H2947" s="18">
        <f>HYPERLINK("D:\python\英语学习\voices\"&amp;B2947&amp;"_2.mp3","AmE")</f>
        <v/>
      </c>
      <c r="I2947" s="18">
        <f>HYPERLINK("http://dict.youdao.com/w/"&amp;B2947,"有道")</f>
        <v/>
      </c>
    </row>
    <row r="2948">
      <c r="B2948" s="1" t="inlineStr">
        <is>
          <t>self-serving</t>
        </is>
      </c>
      <c r="C2948" s="7">
        <f>"adj. 自私自利的，自私的"</f>
        <v/>
      </c>
      <c r="G2948" s="18">
        <f>HYPERLINK("D:\python\英语学习\voices\"&amp;B2948&amp;"_1.mp3","BrE")</f>
        <v/>
      </c>
      <c r="H2948" s="18">
        <f>HYPERLINK("D:\python\英语学习\voices\"&amp;B2948&amp;"_2.mp3","AmE")</f>
        <v/>
      </c>
      <c r="I2948" s="18">
        <f>HYPERLINK("http://dict.youdao.com/w/"&amp;B2948,"有道")</f>
        <v/>
      </c>
    </row>
    <row customHeight="1" ht="42.75" r="2949">
      <c r="B2949" s="1" t="inlineStr">
        <is>
          <t>reinforce</t>
        </is>
      </c>
      <c r="C2949" s="7">
        <f>"vt. 加强，加固；强化；补充"&amp;CHAR(10)&amp;"vi. 求援；得到增援；给予更多的支持"&amp;CHAR(10)&amp;"n. 加强；加固物；加固材料"</f>
        <v/>
      </c>
      <c r="G2949" s="18">
        <f>HYPERLINK("D:\python\英语学习\voices\"&amp;B2949&amp;"_1.mp3","BrE")</f>
        <v/>
      </c>
      <c r="H2949" s="18">
        <f>HYPERLINK("D:\python\英语学习\voices\"&amp;B2949&amp;"_2.mp3","AmE")</f>
        <v/>
      </c>
      <c r="I2949" s="18">
        <f>HYPERLINK("http://dict.youdao.com/w/"&amp;B2949,"有道")</f>
        <v/>
      </c>
    </row>
    <row customHeight="1" ht="57" r="2950">
      <c r="B2950" s="1" t="inlineStr">
        <is>
          <t>scatter</t>
        </is>
      </c>
      <c r="C2950" s="7">
        <f>"v. 撒播；散开；散布；驱散；散布于……上；散射（电磁辐射或粒子）；（棒球）有效投（球）"&amp;CHAR(10)&amp;"n. 零星散布的东西；离差；散射"</f>
        <v/>
      </c>
      <c r="G2950" s="18">
        <f>HYPERLINK("D:\python\英语学习\voices\"&amp;B2950&amp;"_1.mp3","BrE")</f>
        <v/>
      </c>
      <c r="H2950" s="18">
        <f>HYPERLINK("D:\python\英语学习\voices\"&amp;B2950&amp;"_2.mp3","AmE")</f>
        <v/>
      </c>
      <c r="I2950" s="18">
        <f>HYPERLINK("http://dict.youdao.com/w/"&amp;B2950,"有道")</f>
        <v/>
      </c>
    </row>
    <row customHeight="1" ht="42.75" r="2951">
      <c r="A2951" t="inlineStr">
        <is>
          <t>practice</t>
        </is>
      </c>
      <c r="B2951" s="1" t="inlineStr">
        <is>
          <t>pretentious</t>
        </is>
      </c>
      <c r="C2951" s="7">
        <f>"adj. 自命不凡的；炫耀的；做作的"</f>
        <v/>
      </c>
      <c r="G2951" s="18">
        <f>HYPERLINK("D:\python\英语学习\voices\"&amp;B2951&amp;"_1.mp3","BrE")</f>
        <v/>
      </c>
      <c r="H2951" s="18">
        <f>HYPERLINK("D:\python\英语学习\voices\"&amp;B2951&amp;"_2.mp3","AmE")</f>
        <v/>
      </c>
      <c r="I2951" s="18">
        <f>HYPERLINK("http://dict.youdao.com/w/"&amp;B2951,"有道")</f>
        <v/>
      </c>
    </row>
    <row customHeight="1" ht="42.75" r="2952">
      <c r="B2952" s="1" t="inlineStr">
        <is>
          <t>slash</t>
        </is>
      </c>
      <c r="C2952" s="7">
        <f>"vt. 猛砍；鞭打；严厉批评；大幅度裁减或削减"&amp;CHAR(10)&amp;"vi. 猛砍；严厉批评"&amp;CHAR(10)&amp;"n. 削减；斜线；猛砍；砍痕；沼泽低地"</f>
        <v/>
      </c>
      <c r="E2952" s="6" t="inlineStr">
        <is>
          <t>消减经费</t>
        </is>
      </c>
      <c r="G2952" s="18">
        <f>HYPERLINK("D:\python\英语学习\voices\"&amp;B2952&amp;"_1.mp3","BrE")</f>
        <v/>
      </c>
      <c r="H2952" s="18">
        <f>HYPERLINK("D:\python\英语学习\voices\"&amp;B2952&amp;"_2.mp3","AmE")</f>
        <v/>
      </c>
      <c r="I2952" s="18">
        <f>HYPERLINK("http://dict.youdao.com/w/"&amp;B2952,"有道")</f>
        <v/>
      </c>
    </row>
    <row customHeight="1" ht="28.5" r="2953">
      <c r="B2953" s="1" t="inlineStr">
        <is>
          <t>stimulate</t>
        </is>
      </c>
      <c r="C2953" s="7">
        <f>"vt. 刺激；鼓舞，激励"&amp;CHAR(10)&amp;"vi. 起刺激作用；起促进作用"</f>
        <v/>
      </c>
      <c r="G2953" s="18">
        <f>HYPERLINK("D:\python\英语学习\voices\"&amp;B2953&amp;"_1.mp3","BrE")</f>
        <v/>
      </c>
      <c r="H2953" s="18">
        <f>HYPERLINK("D:\python\英语学习\voices\"&amp;B2953&amp;"_2.mp3","AmE")</f>
        <v/>
      </c>
      <c r="I2953" s="18">
        <f>HYPERLINK("http://dict.youdao.com/w/"&amp;B2953,"有道")</f>
        <v/>
      </c>
    </row>
    <row customHeight="1" ht="71.25" r="2954">
      <c r="A2954" s="1" t="inlineStr">
        <is>
          <t>practice</t>
        </is>
      </c>
      <c r="B2954" s="1" t="inlineStr">
        <is>
          <t>provocative</t>
        </is>
      </c>
      <c r="C2954" s="7">
        <f>"adj. 刺激的，挑拨的；气人的"&amp;CHAR(10)&amp;"n. 刺激物，挑拨物；兴奋剂"</f>
        <v/>
      </c>
      <c r="D2954" t="inlineStr">
        <is>
          <t>provoke引发激起挑衅</t>
        </is>
      </c>
      <c r="G2954" s="18">
        <f>HYPERLINK("D:\python\英语学习\voices\"&amp;B2954&amp;"_1.mp3","BrE")</f>
        <v/>
      </c>
      <c r="H2954" s="18">
        <f>HYPERLINK("D:\python\英语学习\voices\"&amp;B2954&amp;"_2.mp3","AmE")</f>
        <v/>
      </c>
      <c r="I2954" s="18">
        <f>HYPERLINK("http://dict.youdao.com/w/"&amp;B2954,"有道")</f>
        <v/>
      </c>
    </row>
    <row customHeight="1" ht="42.75" r="2955">
      <c r="B2955" s="1" t="inlineStr">
        <is>
          <t>stunning</t>
        </is>
      </c>
      <c r="C2955" s="7">
        <f>"adj. 极好的；使人晕倒的；震耳欲聋的"&amp;CHAR(10)&amp;"v. 把…打昏；使震耳欲聋；使大吃一惊（stun的ing形式）"</f>
        <v/>
      </c>
      <c r="G2955" s="18">
        <f>HYPERLINK("D:\python\英语学习\voices\"&amp;B2955&amp;"_1.mp3","BrE")</f>
        <v/>
      </c>
      <c r="H2955" s="18">
        <f>HYPERLINK("D:\python\英语学习\voices\"&amp;B2955&amp;"_2.mp3","AmE")</f>
        <v/>
      </c>
      <c r="I2955" s="18">
        <f>HYPERLINK("http://dict.youdao.com/w/"&amp;B2955,"有道")</f>
        <v/>
      </c>
    </row>
    <row r="2956">
      <c r="B2956" s="1" t="inlineStr">
        <is>
          <t>sustain</t>
        </is>
      </c>
      <c r="C2956" s="7">
        <f>"vt. 维持；支撑，承担；忍受；供养；证实"</f>
        <v/>
      </c>
      <c r="G2956" s="18">
        <f>HYPERLINK("D:\python\英语学习\voices\"&amp;B2956&amp;"_1.mp3","BrE")</f>
        <v/>
      </c>
      <c r="H2956" s="18">
        <f>HYPERLINK("D:\python\英语学习\voices\"&amp;B2956&amp;"_2.mp3","AmE")</f>
        <v/>
      </c>
      <c r="I2956" s="18">
        <f>HYPERLINK("http://dict.youdao.com/w/"&amp;B2956,"有道")</f>
        <v/>
      </c>
    </row>
    <row r="2957">
      <c r="B2957" s="1" t="inlineStr">
        <is>
          <t>agenda</t>
        </is>
      </c>
      <c r="C2957" s="7">
        <f>"n. 议程；日常工作事项；日程表"</f>
        <v/>
      </c>
      <c r="G2957" s="18">
        <f>HYPERLINK("D:\python\英语学习\voices\"&amp;B2957&amp;"_1.mp3","BrE")</f>
        <v/>
      </c>
      <c r="H2957" s="18">
        <f>HYPERLINK("D:\python\英语学习\voices\"&amp;B2957&amp;"_2.mp3","AmE")</f>
        <v/>
      </c>
      <c r="I2957" s="18">
        <f>HYPERLINK("http://dict.youdao.com/w/"&amp;B2957,"有道")</f>
        <v/>
      </c>
    </row>
    <row r="2958">
      <c r="B2958" s="1" t="inlineStr">
        <is>
          <t>anarchy</t>
        </is>
      </c>
      <c r="C2958" s="7">
        <f>"n. 无政府状态；混乱；无秩序"</f>
        <v/>
      </c>
      <c r="G2958" s="18">
        <f>HYPERLINK("D:\python\英语学习\voices\"&amp;B2958&amp;"_1.mp3","BrE")</f>
        <v/>
      </c>
      <c r="H2958" s="18">
        <f>HYPERLINK("D:\python\英语学习\voices\"&amp;B2958&amp;"_2.mp3","AmE")</f>
        <v/>
      </c>
      <c r="I2958" s="18">
        <f>HYPERLINK("http://dict.youdao.com/w/"&amp;B2958,"有道")</f>
        <v/>
      </c>
    </row>
    <row customHeight="1" ht="42.75" r="2959">
      <c r="B2959" s="1" t="inlineStr">
        <is>
          <t>boycott</t>
        </is>
      </c>
      <c r="C2959" s="7">
        <f>"v. 联合抵制；拒绝购买；拒绝参加"&amp;CHAR(10)&amp;"n. 联合抵制"&amp;CHAR(10)&amp;"n. (Boycott) 博伊科特（人名）"</f>
        <v/>
      </c>
      <c r="E2959" s="6" t="inlineStr">
        <is>
          <t>注意拼写-cott</t>
        </is>
      </c>
      <c r="G2959" s="18">
        <f>HYPERLINK("D:\python\英语学习\voices\"&amp;B2959&amp;"_1.mp3","BrE")</f>
        <v/>
      </c>
      <c r="H2959" s="18">
        <f>HYPERLINK("D:\python\英语学习\voices\"&amp;B2959&amp;"_2.mp3","AmE")</f>
        <v/>
      </c>
      <c r="I2959" s="18">
        <f>HYPERLINK("http://dict.youdao.com/w/"&amp;B2959,"有道")</f>
        <v/>
      </c>
    </row>
    <row customHeight="1" ht="42.75" r="2960">
      <c r="B2960" s="1" t="inlineStr">
        <is>
          <t>clout</t>
        </is>
      </c>
      <c r="C2960" s="7">
        <f>"n. 破布；敲打；影响力；势力"&amp;CHAR(10)&amp;"vt. 给…打补钉；猛击"&amp;CHAR(10)&amp;"n. (Clout)人名；(法)克卢"</f>
        <v/>
      </c>
      <c r="G2960" s="18">
        <f>HYPERLINK("D:\python\英语学习\voices\"&amp;B2960&amp;"_1.mp3","BrE")</f>
        <v/>
      </c>
      <c r="H2960" s="18">
        <f>HYPERLINK("D:\python\英语学习\voices\"&amp;B2960&amp;"_2.mp3","AmE")</f>
        <v/>
      </c>
      <c r="I2960" s="18">
        <f>HYPERLINK("http://dict.youdao.com/w/"&amp;B2960,"有道")</f>
        <v/>
      </c>
    </row>
    <row r="2961">
      <c r="B2961" s="1" t="inlineStr">
        <is>
          <t>consequence</t>
        </is>
      </c>
      <c r="C2961" s="7">
        <f>"n. 结果；重要性；推论"</f>
        <v/>
      </c>
      <c r="E2961" s="6" t="inlineStr">
        <is>
          <t>come with consequence做某事是有后果的</t>
        </is>
      </c>
      <c r="G2961" s="18">
        <f>HYPERLINK("D:\python\英语学习\voices\"&amp;B2961&amp;"_1.mp3","BrE")</f>
        <v/>
      </c>
      <c r="H2961" s="18">
        <f>HYPERLINK("D:\python\英语学习\voices\"&amp;B2961&amp;"_2.mp3","AmE")</f>
        <v/>
      </c>
      <c r="I2961" s="18">
        <f>HYPERLINK("http://dict.youdao.com/w/"&amp;B2961,"有道")</f>
        <v/>
      </c>
    </row>
    <row customHeight="1" ht="57" r="2962">
      <c r="B2962" s="1" t="inlineStr">
        <is>
          <t>damp</t>
        </is>
      </c>
      <c r="C2962" s="7">
        <f>"adj. 潮湿的"&amp;CHAR(10)&amp;"n. 潮湿；气馁；沼气"&amp;CHAR(10)&amp;"v. （使）潮湿；（使）沮丧，抑制；灭火；限止（钢琴或其他乐器琴弦）的音；减幅"</f>
        <v/>
      </c>
      <c r="G2962" s="18">
        <f>HYPERLINK("D:\python\英语学习\voices\"&amp;B2962&amp;"_1.mp3","BrE")</f>
        <v/>
      </c>
      <c r="H2962" s="18">
        <f>HYPERLINK("D:\python\英语学习\voices\"&amp;B2962&amp;"_2.mp3","AmE")</f>
        <v/>
      </c>
      <c r="I2962" s="18">
        <f>HYPERLINK("http://dict.youdao.com/w/"&amp;B2962,"有道")</f>
        <v/>
      </c>
    </row>
    <row customHeight="1" ht="29.1" r="2963">
      <c r="B2963" s="1" t="inlineStr">
        <is>
          <t>damper</t>
        </is>
      </c>
      <c r="C2963" s="7">
        <f>"n. [航][电子][机] 阻尼器；[车辆] 减震器；气闸"</f>
        <v/>
      </c>
      <c r="G2963" s="18">
        <f>HYPERLINK("D:\python\英语学习\voices\"&amp;B2963&amp;"_1.mp3","BrE")</f>
        <v/>
      </c>
      <c r="H2963" s="18">
        <f>HYPERLINK("D:\python\英语学习\voices\"&amp;B2963&amp;"_2.mp3","AmE")</f>
        <v/>
      </c>
      <c r="I2963" s="18">
        <f>HYPERLINK("http://dict.youdao.com/w/"&amp;B2963,"有道")</f>
        <v/>
      </c>
    </row>
    <row customHeight="1" ht="42.75" r="2964">
      <c r="B2964" s="1" t="inlineStr">
        <is>
          <t>debut</t>
        </is>
      </c>
      <c r="C2964" s="7">
        <f>"n. 初次登台；开张"&amp;CHAR(10)&amp;"vi. 初次登台"&amp;CHAR(10)&amp;"n. (Debut)人名；(法)德比"</f>
        <v/>
      </c>
      <c r="E2964" s="6" t="inlineStr">
        <is>
          <t>首秀</t>
        </is>
      </c>
      <c r="G2964" s="18">
        <f>HYPERLINK("D:\python\英语学习\voices\"&amp;B2964&amp;"_1.mp3","BrE")</f>
        <v/>
      </c>
      <c r="H2964" s="18">
        <f>HYPERLINK("D:\python\英语学习\voices\"&amp;B2964&amp;"_2.mp3","AmE")</f>
        <v/>
      </c>
      <c r="I2964" s="18">
        <f>HYPERLINK("http://dict.youdao.com/w/"&amp;B2964,"有道")</f>
        <v/>
      </c>
    </row>
    <row customHeight="1" ht="28.5" r="2965">
      <c r="B2965" s="1" t="inlineStr">
        <is>
          <t>epidemic</t>
        </is>
      </c>
      <c r="C2965" s="7">
        <f>"adj. 流行的；传染性的"&amp;CHAR(10)&amp;"n. 传染病；流行病；风尚等的流行"</f>
        <v/>
      </c>
      <c r="G2965" s="18">
        <f>HYPERLINK("D:\python\英语学习\voices\"&amp;B2965&amp;"_1.mp3","BrE")</f>
        <v/>
      </c>
      <c r="H2965" s="18">
        <f>HYPERLINK("D:\python\英语学习\voices\"&amp;B2965&amp;"_2.mp3","AmE")</f>
        <v/>
      </c>
      <c r="I2965" s="18">
        <f>HYPERLINK("http://dict.youdao.com/w/"&amp;B2965,"有道")</f>
        <v/>
      </c>
    </row>
    <row customHeight="1" ht="28.5" r="2966">
      <c r="A2966" s="1" t="inlineStr">
        <is>
          <t>practice</t>
        </is>
      </c>
      <c r="B2966" s="1" t="inlineStr">
        <is>
          <t>inexorably</t>
        </is>
      </c>
      <c r="C2966" s="7">
        <f>"adv. 不可逆转地，不可阻挡地"&amp;CHAR(10)&amp;"adv. 无情地；冷酷地"</f>
        <v/>
      </c>
      <c r="G2966" s="18">
        <f>HYPERLINK("D:\python\英语学习\voices\"&amp;B2966&amp;"_1.mp3","BrE")</f>
        <v/>
      </c>
      <c r="H2966" s="18">
        <f>HYPERLINK("D:\python\英语学习\voices\"&amp;B2966&amp;"_2.mp3","AmE")</f>
        <v/>
      </c>
      <c r="I2966" s="18">
        <f>HYPERLINK("http://dict.youdao.com/w/"&amp;B2966,"有道")</f>
        <v/>
      </c>
    </row>
    <row customHeight="1" ht="42.75" r="2967">
      <c r="B2967" s="1" t="inlineStr">
        <is>
          <t>tremble</t>
        </is>
      </c>
      <c r="C2967" s="7">
        <f>"vi. 发抖；战栗；焦虑；摇晃"&amp;CHAR(10)&amp;"vt. 使挥动；用颤抖的声音说出"&amp;CHAR(10)&amp;"n. 颤抖；战栗；摇晃"</f>
        <v/>
      </c>
      <c r="G2967" s="18">
        <f>HYPERLINK("D:\python\英语学习\voices\"&amp;B2967&amp;"_1.mp3","BrE")</f>
        <v/>
      </c>
      <c r="H2967" s="18">
        <f>HYPERLINK("D:\python\英语学习\voices\"&amp;B2967&amp;"_2.mp3","AmE")</f>
        <v/>
      </c>
      <c r="I2967" s="18">
        <f>HYPERLINK("http://dict.youdao.com/w/"&amp;B2967,"有道")</f>
        <v/>
      </c>
    </row>
    <row customHeight="1" ht="28.5" r="2968">
      <c r="A2968" s="1" t="inlineStr">
        <is>
          <t>practice</t>
        </is>
      </c>
      <c r="B2968" s="1" t="inlineStr">
        <is>
          <t>pretence</t>
        </is>
      </c>
      <c r="C2968" s="7">
        <f>"n. 假装；借口；虚伪"</f>
        <v/>
      </c>
      <c r="G2968" s="18">
        <f>HYPERLINK("D:\python\英语学习\voices\"&amp;B2968&amp;"_1.mp3","BrE")</f>
        <v/>
      </c>
      <c r="H2968" s="18">
        <f>HYPERLINK("D:\python\英语学习\voices\"&amp;B2968&amp;"_2.mp3","AmE")</f>
        <v/>
      </c>
      <c r="I2968" s="18">
        <f>HYPERLINK("http://dict.youdao.com/w/"&amp;B2968,"有道")</f>
        <v/>
      </c>
    </row>
    <row customHeight="1" ht="28.5" r="2969">
      <c r="B2969" s="1" t="inlineStr">
        <is>
          <t>flair</t>
        </is>
      </c>
      <c r="C2969" s="7">
        <f>"n. 天资；天分；资质；鉴别力"&amp;CHAR(10)&amp;"n. 人名；(法)弗莱尔"</f>
        <v/>
      </c>
      <c r="E2969" s="10" t="inlineStr">
        <is>
          <t>=talent;gift</t>
        </is>
      </c>
      <c r="G2969" s="18">
        <f>HYPERLINK("D:\python\英语学习\voices\"&amp;B2969&amp;"_1.mp3","BrE")</f>
        <v/>
      </c>
      <c r="H2969" s="18">
        <f>HYPERLINK("D:\python\英语学习\voices\"&amp;B2969&amp;"_2.mp3","AmE")</f>
        <v/>
      </c>
      <c r="I2969" s="18">
        <f>HYPERLINK("http://dict.youdao.com/w/"&amp;B2969,"有道")</f>
        <v/>
      </c>
    </row>
    <row customHeight="1" ht="42.75" r="2970">
      <c r="A2970" s="1" t="inlineStr">
        <is>
          <t>practice</t>
        </is>
      </c>
      <c r="B2970" s="1" t="inlineStr">
        <is>
          <t>perverse</t>
        </is>
      </c>
      <c r="C2970" s="7">
        <f>"adj. 倔强的，不通情理的，一意孤行的；有悖常理的，违反常情的，不合人意的；（裁决）不合法的，不正当的"</f>
        <v/>
      </c>
      <c r="G2970" s="18">
        <f>HYPERLINK("D:\python\英语学习\voices\"&amp;B2970&amp;"_1.mp3","BrE")</f>
        <v/>
      </c>
      <c r="H2970" s="18">
        <f>HYPERLINK("D:\python\英语学习\voices\"&amp;B2970&amp;"_2.mp3","AmE")</f>
        <v/>
      </c>
      <c r="I2970" s="18">
        <f>HYPERLINK("http://dict.youdao.com/w/"&amp;B2970,"有道")</f>
        <v/>
      </c>
    </row>
    <row r="2971">
      <c r="B2971" s="1" t="inlineStr">
        <is>
          <t>impulsive</t>
        </is>
      </c>
      <c r="C2971" s="7">
        <f>"adj. 冲动的；受感情驱使的；任性的"</f>
        <v/>
      </c>
      <c r="G2971" s="18">
        <f>HYPERLINK("D:\python\英语学习\voices\"&amp;B2971&amp;"_1.mp3","BrE")</f>
        <v/>
      </c>
      <c r="H2971" s="18">
        <f>HYPERLINK("D:\python\英语学习\voices\"&amp;B2971&amp;"_2.mp3","AmE")</f>
        <v/>
      </c>
      <c r="I2971" s="18">
        <f>HYPERLINK("http://dict.youdao.com/w/"&amp;B2971,"有道")</f>
        <v/>
      </c>
    </row>
    <row r="2972">
      <c r="B2972" s="1" t="inlineStr">
        <is>
          <t>infrastruction</t>
        </is>
      </c>
      <c r="C2972" s="7">
        <f>"基础建设"</f>
        <v/>
      </c>
      <c r="E2972" s="6" t="inlineStr">
        <is>
          <t>注意拼写-fra</t>
        </is>
      </c>
      <c r="G2972" s="18">
        <f>HYPERLINK("D:\python\英语学习\voices\"&amp;B2972&amp;"_1.mp3","BrE")</f>
        <v/>
      </c>
      <c r="H2972" s="18">
        <f>HYPERLINK("D:\python\英语学习\voices\"&amp;B2972&amp;"_2.mp3","AmE")</f>
        <v/>
      </c>
      <c r="I2972" s="18">
        <f>HYPERLINK("http://dict.youdao.com/w/"&amp;B2972,"有道")</f>
        <v/>
      </c>
    </row>
    <row r="2973">
      <c r="A2973" s="1" t="inlineStr">
        <is>
          <t>unnecessary</t>
        </is>
      </c>
      <c r="B2973" s="1" t="inlineStr">
        <is>
          <t>odds</t>
        </is>
      </c>
      <c r="C2973" s="7">
        <f>"n. 几率；胜算；不平等；差别"</f>
        <v/>
      </c>
      <c r="G2973" s="18">
        <f>HYPERLINK("D:\python\英语学习\voices\"&amp;B2973&amp;"_1.mp3","BrE")</f>
        <v/>
      </c>
      <c r="H2973" s="18">
        <f>HYPERLINK("D:\python\英语学习\voices\"&amp;B2973&amp;"_2.mp3","AmE")</f>
        <v/>
      </c>
      <c r="I2973" s="18">
        <f>HYPERLINK("http://dict.youdao.com/w/"&amp;B2973,"有道")</f>
        <v/>
      </c>
    </row>
    <row r="2974">
      <c r="A2974" s="1" t="inlineStr">
        <is>
          <t>practice</t>
        </is>
      </c>
      <c r="B2974" s="1" t="inlineStr">
        <is>
          <t>bilateral</t>
        </is>
      </c>
      <c r="C2974" s="7">
        <f>"adj. 双边的；有两边的"</f>
        <v/>
      </c>
      <c r="G2974" s="18">
        <f>HYPERLINK("D:\python\英语学习\voices\"&amp;B2974&amp;"_1.mp3","BrE")</f>
        <v/>
      </c>
      <c r="H2974" s="18">
        <f>HYPERLINK("D:\python\英语学习\voices\"&amp;B2974&amp;"_2.mp3","AmE")</f>
        <v/>
      </c>
      <c r="I2974" s="18">
        <f>HYPERLINK("http://dict.youdao.com/w/"&amp;B2974,"有道")</f>
        <v/>
      </c>
    </row>
    <row r="2975">
      <c r="A2975" s="1" t="inlineStr">
        <is>
          <t>practice</t>
        </is>
      </c>
      <c r="B2975" s="1" t="inlineStr">
        <is>
          <t>imminent</t>
        </is>
      </c>
      <c r="C2975" s="7">
        <f>"adj. 即将来临的；迫近的"</f>
        <v/>
      </c>
      <c r="G2975" s="18">
        <f>HYPERLINK("D:\python\英语学习\voices\"&amp;B2975&amp;"_1.mp3","BrE")</f>
        <v/>
      </c>
      <c r="H2975" s="18">
        <f>HYPERLINK("D:\python\英语学习\voices\"&amp;B2975&amp;"_2.mp3","AmE")</f>
        <v/>
      </c>
      <c r="I2975" s="18">
        <f>HYPERLINK("http://dict.youdao.com/w/"&amp;B2975,"有道")</f>
        <v/>
      </c>
    </row>
    <row customHeight="1" ht="28.5" r="2976">
      <c r="B2976" s="1" t="inlineStr">
        <is>
          <t>phase</t>
        </is>
      </c>
      <c r="C2976" s="7">
        <f>"n. 月相；时期，阶段"&amp;CHAR(10)&amp;"vt. 分阶段进行；使定相"</f>
        <v/>
      </c>
      <c r="E2976" s="6" t="inlineStr">
        <is>
          <t>phase in/out 逐步引进/逐步废除</t>
        </is>
      </c>
      <c r="G2976" s="18">
        <f>HYPERLINK("D:\python\英语学习\voices\"&amp;B2976&amp;"_1.mp3","BrE")</f>
        <v/>
      </c>
      <c r="H2976" s="18">
        <f>HYPERLINK("D:\python\英语学习\voices\"&amp;B2976&amp;"_2.mp3","AmE")</f>
        <v/>
      </c>
      <c r="I2976" s="18">
        <f>HYPERLINK("http://dict.youdao.com/w/"&amp;B2976,"有道")</f>
        <v/>
      </c>
    </row>
    <row r="2977">
      <c r="B2977" s="1" t="inlineStr">
        <is>
          <t>proponent</t>
        </is>
      </c>
      <c r="C2977" s="7">
        <f>"n. 支持者；建议者；提出认证遗嘱者"</f>
        <v/>
      </c>
      <c r="E2977" s="10" t="inlineStr">
        <is>
          <t>=advocate</t>
        </is>
      </c>
      <c r="G2977" s="18">
        <f>HYPERLINK("D:\python\英语学习\voices\"&amp;B2977&amp;"_1.mp3","BrE")</f>
        <v/>
      </c>
      <c r="H2977" s="18">
        <f>HYPERLINK("D:\python\英语学习\voices\"&amp;B2977&amp;"_2.mp3","AmE")</f>
        <v/>
      </c>
      <c r="I2977" s="18">
        <f>HYPERLINK("http://dict.youdao.com/w/"&amp;B2977,"有道")</f>
        <v/>
      </c>
    </row>
    <row r="2978">
      <c r="B2978" s="1" t="inlineStr">
        <is>
          <t>reservation</t>
        </is>
      </c>
      <c r="C2978" s="7">
        <f>"n. 预约，预订；保留"</f>
        <v/>
      </c>
      <c r="G2978" s="18">
        <f>HYPERLINK("D:\python\英语学习\voices\"&amp;B2978&amp;"_1.mp3","BrE")</f>
        <v/>
      </c>
      <c r="H2978" s="18">
        <f>HYPERLINK("D:\python\英语学习\voices\"&amp;B2978&amp;"_2.mp3","AmE")</f>
        <v/>
      </c>
      <c r="I2978" s="18">
        <f>HYPERLINK("http://dict.youdao.com/w/"&amp;B2978,"有道")</f>
        <v/>
      </c>
    </row>
    <row customHeight="1" ht="28.5" r="2979">
      <c r="A2979" s="1" t="inlineStr">
        <is>
          <t>practice</t>
        </is>
      </c>
      <c r="B2979" s="1" t="inlineStr">
        <is>
          <t>sensible</t>
        </is>
      </c>
      <c r="C2979" s="7">
        <f>"adj. 明智的; 通情达理的; 合乎情理的; 意识到的，能感觉到的;"&amp;CHAR(10)&amp;"n. 可感觉到的东西; 敏感的人;"</f>
        <v/>
      </c>
      <c r="E2979" t="inlineStr">
        <is>
          <t>'=wise</t>
        </is>
      </c>
      <c r="G2979" s="18">
        <f>HYPERLINK("D:\python\英语学习\voices\"&amp;B2979&amp;"_1.mp3","BrE")</f>
        <v/>
      </c>
      <c r="H2979" s="18">
        <f>HYPERLINK("D:\python\英语学习\voices\"&amp;B2979&amp;"_2.mp3","AmE")</f>
        <v/>
      </c>
      <c r="I2979" s="18">
        <f>HYPERLINK("http://dict.youdao.com/w/"&amp;B2979,"有道")</f>
        <v/>
      </c>
    </row>
    <row r="2980">
      <c r="B2980" s="1" t="inlineStr">
        <is>
          <t>scenario</t>
        </is>
      </c>
      <c r="C2980" s="7">
        <f>"n. 方案；情节；剧本；设想"</f>
        <v/>
      </c>
      <c r="G2980" s="18">
        <f>HYPERLINK("D:\python\英语学习\voices\"&amp;B2980&amp;"_1.mp3","BrE")</f>
        <v/>
      </c>
      <c r="H2980" s="18">
        <f>HYPERLINK("D:\python\英语学习\voices\"&amp;B2980&amp;"_2.mp3","AmE")</f>
        <v/>
      </c>
      <c r="I2980" s="18">
        <f>HYPERLINK("http://dict.youdao.com/w/"&amp;B2980,"有道")</f>
        <v/>
      </c>
    </row>
    <row customHeight="1" ht="28.5" r="2981">
      <c r="B2981" s="1" t="inlineStr">
        <is>
          <t>tactic</t>
        </is>
      </c>
      <c r="C2981" s="7">
        <f>"n. 策略，战略"&amp;CHAR(10)&amp;"adj. 按顺序的，依次排列的"</f>
        <v/>
      </c>
      <c r="G2981" s="18">
        <f>HYPERLINK("D:\python\英语学习\voices\"&amp;B2981&amp;"_1.mp3","BrE")</f>
        <v/>
      </c>
      <c r="H2981" s="18">
        <f>HYPERLINK("D:\python\英语学习\voices\"&amp;B2981&amp;"_2.mp3","AmE")</f>
        <v/>
      </c>
      <c r="I2981" s="18">
        <f>HYPERLINK("http://dict.youdao.com/w/"&amp;B2981,"有道")</f>
        <v/>
      </c>
    </row>
    <row customHeight="1" ht="28.5" r="2982">
      <c r="B2982" s="1" t="inlineStr">
        <is>
          <t>veteran</t>
        </is>
      </c>
      <c r="C2982" s="7">
        <f>"n. 老兵；老手；富有经验的人；老运动员"&amp;CHAR(10)&amp;"adj. 经验丰富的；老兵的"</f>
        <v/>
      </c>
      <c r="G2982" s="18">
        <f>HYPERLINK("D:\python\英语学习\voices\"&amp;B2982&amp;"_1.mp3","BrE")</f>
        <v/>
      </c>
      <c r="H2982" s="18">
        <f>HYPERLINK("D:\python\英语学习\voices\"&amp;B2982&amp;"_2.mp3","AmE")</f>
        <v/>
      </c>
      <c r="I2982" s="18">
        <f>HYPERLINK("http://dict.youdao.com/w/"&amp;B2982,"有道")</f>
        <v/>
      </c>
    </row>
    <row r="2983">
      <c r="B2983" s="1" t="inlineStr">
        <is>
          <t>wrath</t>
        </is>
      </c>
      <c r="C2983" s="7">
        <f>"n. 愤怒；激怒"</f>
        <v/>
      </c>
      <c r="G2983" s="18">
        <f>HYPERLINK("D:\python\英语学习\voices\"&amp;B2983&amp;"_1.mp3","BrE")</f>
        <v/>
      </c>
      <c r="H2983" s="18">
        <f>HYPERLINK("D:\python\英语学习\voices\"&amp;B2983&amp;"_2.mp3","AmE")</f>
        <v/>
      </c>
      <c r="I2983" s="18">
        <f>HYPERLINK("http://dict.youdao.com/w/"&amp;B2983,"有道")</f>
        <v/>
      </c>
    </row>
    <row customHeight="1" ht="28.5" r="2984">
      <c r="A2984" s="1" t="inlineStr">
        <is>
          <t>practice</t>
        </is>
      </c>
      <c r="B2984" s="1" t="inlineStr">
        <is>
          <t>strapped</t>
        </is>
      </c>
      <c r="C2984" s="7">
        <f>"adj. 缺钱的，手头拮据的"&amp;CHAR(10)&amp;"v. 用带子系（strap 的过去式和过去分词）"</f>
        <v/>
      </c>
      <c r="G2984" s="18">
        <f>HYPERLINK("D:\python\英语学习\voices\"&amp;B2984&amp;"_1.mp3","BrE")</f>
        <v/>
      </c>
      <c r="H2984" s="18">
        <f>HYPERLINK("D:\python\英语学习\voices\"&amp;B2984&amp;"_2.mp3","AmE")</f>
        <v/>
      </c>
      <c r="I2984" s="18">
        <f>HYPERLINK("http://dict.youdao.com/w/"&amp;B2984,"有道")</f>
        <v/>
      </c>
    </row>
    <row customHeight="1" ht="28.5" r="2985">
      <c r="A2985" t="inlineStr">
        <is>
          <t>practice</t>
        </is>
      </c>
      <c r="B2985" s="1" t="inlineStr">
        <is>
          <t>venerable</t>
        </is>
      </c>
      <c r="C2985" s="7">
        <f>"adj. 庄严的，值得尊敬的；珍贵的"</f>
        <v/>
      </c>
      <c r="G2985" s="18">
        <f>HYPERLINK("D:\python\英语学习\voices\"&amp;B2985&amp;"_1.mp3","BrE")</f>
        <v/>
      </c>
      <c r="H2985" s="18">
        <f>HYPERLINK("D:\python\英语学习\voices\"&amp;B2985&amp;"_2.mp3","AmE")</f>
        <v/>
      </c>
      <c r="I2985" s="18">
        <f>HYPERLINK("http://dict.youdao.com/w/"&amp;B2985,"有道")</f>
        <v/>
      </c>
    </row>
    <row customHeight="1" ht="28.5" r="2986">
      <c r="B2986" s="1" t="inlineStr">
        <is>
          <t>alleged</t>
        </is>
      </c>
      <c r="C2986" s="7">
        <f>"adj. 所谓的；声称的；被断言的"&amp;CHAR(10)&amp;"v. 宣称（allege的过去式和过去分词）；断言"</f>
        <v/>
      </c>
      <c r="G2986" s="18">
        <f>HYPERLINK("D:\python\英语学习\voices\"&amp;B2986&amp;"_1.mp3","BrE")</f>
        <v/>
      </c>
      <c r="H2986" s="18">
        <f>HYPERLINK("D:\python\英语学习\voices\"&amp;B2986&amp;"_2.mp3","AmE")</f>
        <v/>
      </c>
      <c r="I2986" s="18">
        <f>HYPERLINK("http://dict.youdao.com/w/"&amp;B2986,"有道")</f>
        <v/>
      </c>
    </row>
    <row r="2987">
      <c r="B2987" s="1" t="inlineStr">
        <is>
          <t>allegedly</t>
        </is>
      </c>
      <c r="C2987" s="7">
        <f>"adv. 依其申述；据说，据称"</f>
        <v/>
      </c>
      <c r="G2987" s="18">
        <f>HYPERLINK("D:\python\英语学习\voices\"&amp;B2987&amp;"_1.mp3","BrE")</f>
        <v/>
      </c>
      <c r="H2987" s="18">
        <f>HYPERLINK("D:\python\英语学习\voices\"&amp;B2987&amp;"_2.mp3","AmE")</f>
        <v/>
      </c>
      <c r="I2987" s="18">
        <f>HYPERLINK("http://dict.youdao.com/w/"&amp;B2987,"有道")</f>
        <v/>
      </c>
    </row>
    <row customHeight="1" ht="42.75" r="2988">
      <c r="B2988" s="1" t="inlineStr">
        <is>
          <t>aloft</t>
        </is>
      </c>
      <c r="C2988" s="7">
        <f>"adv. 在空中；在高处；在上面"&amp;CHAR(10)&amp;"prep. 在…之上；在…顶上"&amp;CHAR(10)&amp;"adj. 在空中的；在高处的；在上面的"</f>
        <v/>
      </c>
      <c r="G2988" s="18">
        <f>HYPERLINK("D:\python\英语学习\voices\"&amp;B2988&amp;"_1.mp3","BrE")</f>
        <v/>
      </c>
      <c r="H2988" s="18">
        <f>HYPERLINK("D:\python\英语学习\voices\"&amp;B2988&amp;"_2.mp3","AmE")</f>
        <v/>
      </c>
      <c r="I2988" s="18">
        <f>HYPERLINK("http://dict.youdao.com/w/"&amp;B2988,"有道")</f>
        <v/>
      </c>
    </row>
    <row customHeight="1" ht="85.5" r="2989">
      <c r="A2989" t="inlineStr">
        <is>
          <t>practice</t>
        </is>
      </c>
      <c r="B2989" s="1" t="inlineStr">
        <is>
          <t>compel</t>
        </is>
      </c>
      <c r="C2989" s="7">
        <f>"vt. 强迫，迫使；强使发生"&amp;CHAR(10)&amp;"n. (Compel)人名；(法)孔佩尔"</f>
        <v/>
      </c>
      <c r="D2989" s="16" t="inlineStr">
        <is>
          <t>com-一起</t>
        </is>
      </c>
      <c r="G2989" s="18">
        <f>HYPERLINK("D:\python\英语学习\voices\"&amp;B2989&amp;"_1.mp3","BrE")</f>
        <v/>
      </c>
      <c r="H2989" s="18">
        <f>HYPERLINK("D:\python\英语学习\voices\"&amp;B2989&amp;"_2.mp3","AmE")</f>
        <v/>
      </c>
      <c r="I2989" s="18">
        <f>HYPERLINK("http://dict.youdao.com/w/"&amp;B2989,"有道")</f>
        <v/>
      </c>
    </row>
    <row r="2990">
      <c r="B2990" s="1" t="inlineStr">
        <is>
          <t>ambivalent</t>
        </is>
      </c>
      <c r="C2990" s="7">
        <f>"adj. 矛盾的；好恶相克的"</f>
        <v/>
      </c>
      <c r="G2990" s="18">
        <f>HYPERLINK("D:\python\英语学习\voices\"&amp;B2990&amp;"_1.mp3","BrE")</f>
        <v/>
      </c>
      <c r="H2990" s="18">
        <f>HYPERLINK("D:\python\英语学习\voices\"&amp;B2990&amp;"_2.mp3","AmE")</f>
        <v/>
      </c>
      <c r="I2990" s="18">
        <f>HYPERLINK("http://dict.youdao.com/w/"&amp;B2990,"有道")</f>
        <v/>
      </c>
    </row>
    <row r="2991">
      <c r="A2991" s="1" t="inlineStr">
        <is>
          <t>practice</t>
        </is>
      </c>
      <c r="B2991" s="1" t="inlineStr">
        <is>
          <t>endorse</t>
        </is>
      </c>
      <c r="C2991" s="7">
        <f>"vt. 背书；认可；签署；赞同；在背面签名"</f>
        <v/>
      </c>
      <c r="E2991" s="6" t="inlineStr">
        <is>
          <t>支持=support</t>
        </is>
      </c>
      <c r="G2991" s="18">
        <f>HYPERLINK("D:\python\英语学习\voices\"&amp;B2991&amp;"_1.mp3","BrE")</f>
        <v/>
      </c>
      <c r="H2991" s="18">
        <f>HYPERLINK("D:\python\英语学习\voices\"&amp;B2991&amp;"_2.mp3","AmE")</f>
        <v/>
      </c>
      <c r="I2991" s="18">
        <f>HYPERLINK("http://dict.youdao.com/w/"&amp;B2991,"有道")</f>
        <v/>
      </c>
    </row>
    <row r="2992">
      <c r="B2992" s="1" t="inlineStr">
        <is>
          <t>audacious</t>
        </is>
      </c>
      <c r="C2992" s="7">
        <f>"adj. 无畏的；鲁莽的"</f>
        <v/>
      </c>
      <c r="G2992" s="18">
        <f>HYPERLINK("D:\python\英语学习\voices\"&amp;B2992&amp;"_1.mp3","BrE")</f>
        <v/>
      </c>
      <c r="H2992" s="18">
        <f>HYPERLINK("D:\python\英语学习\voices\"&amp;B2992&amp;"_2.mp3","AmE")</f>
        <v/>
      </c>
      <c r="I2992" s="18">
        <f>HYPERLINK("http://dict.youdao.com/w/"&amp;B2992,"有道")</f>
        <v/>
      </c>
    </row>
    <row r="2993">
      <c r="B2993" s="1" t="inlineStr">
        <is>
          <t>austere</t>
        </is>
      </c>
      <c r="C2993" s="7">
        <f>"adj. 严峻的；简朴的；苦行的；无装饰的"</f>
        <v/>
      </c>
      <c r="G2993" s="18">
        <f>HYPERLINK("D:\python\英语学习\voices\"&amp;B2993&amp;"_1.mp3","BrE")</f>
        <v/>
      </c>
      <c r="H2993" s="18">
        <f>HYPERLINK("D:\python\英语学习\voices\"&amp;B2993&amp;"_2.mp3","AmE")</f>
        <v/>
      </c>
      <c r="I2993" s="18">
        <f>HYPERLINK("http://dict.youdao.com/w/"&amp;B2993,"有道")</f>
        <v/>
      </c>
    </row>
    <row customHeight="1" ht="28.5" r="2994">
      <c r="B2994" s="1" t="inlineStr">
        <is>
          <t>bewildered</t>
        </is>
      </c>
      <c r="C2994" s="7">
        <f>"adj. 困惑的；眩"&amp;CHAR(10)&amp;"v. 使困惑（bewilder的过去分词）"</f>
        <v/>
      </c>
      <c r="G2994" s="18">
        <f>HYPERLINK("D:\python\英语学习\voices\"&amp;B2994&amp;"_1.mp3","BrE")</f>
        <v/>
      </c>
      <c r="H2994" s="18">
        <f>HYPERLINK("D:\python\英语学习\voices\"&amp;B2994&amp;"_2.mp3","AmE")</f>
        <v/>
      </c>
      <c r="I2994" s="18">
        <f>HYPERLINK("http://dict.youdao.com/w/"&amp;B2994,"有道")</f>
        <v/>
      </c>
    </row>
    <row r="2995">
      <c r="B2995" s="1" t="inlineStr">
        <is>
          <t>bizzar</t>
        </is>
      </c>
      <c r="C2995" s="7">
        <f>"查无此词，请检查拼写"</f>
        <v/>
      </c>
      <c r="G2995" s="18">
        <f>HYPERLINK("D:\python\英语学习\voices\"&amp;B2995&amp;"_1.mp3","BrE")</f>
        <v/>
      </c>
      <c r="H2995" s="18">
        <f>HYPERLINK("D:\python\英语学习\voices\"&amp;B2995&amp;"_2.mp3","AmE")</f>
        <v/>
      </c>
      <c r="I2995" s="18">
        <f>HYPERLINK("http://dict.youdao.com/w/"&amp;B2995,"有道")</f>
        <v/>
      </c>
    </row>
    <row r="2996">
      <c r="A2996" s="1" t="inlineStr">
        <is>
          <t>practice</t>
        </is>
      </c>
      <c r="B2996" s="1" t="inlineStr">
        <is>
          <t>resent</t>
        </is>
      </c>
      <c r="C2996" s="7">
        <f>"vt. 怨恨；愤恨；厌恶"</f>
        <v/>
      </c>
      <c r="G2996" s="18">
        <f>HYPERLINK("D:\python\英语学习\voices\"&amp;B2996&amp;"_1.mp3","BrE")</f>
        <v/>
      </c>
      <c r="H2996" s="18">
        <f>HYPERLINK("D:\python\英语学习\voices\"&amp;B2996&amp;"_2.mp3","AmE")</f>
        <v/>
      </c>
      <c r="I2996" s="18">
        <f>HYPERLINK("http://dict.youdao.com/w/"&amp;B2996,"有道")</f>
        <v/>
      </c>
    </row>
    <row customHeight="1" ht="28.5" r="2997">
      <c r="B2997" s="1" t="inlineStr">
        <is>
          <t>blue-chip</t>
        </is>
      </c>
      <c r="C2997" s="7">
        <f>"adj. 第一流的；靠得住的；独特的；蓝色筹码的"</f>
        <v/>
      </c>
      <c r="G2997" s="18">
        <f>HYPERLINK("D:\python\英语学习\voices\"&amp;B2997&amp;"_1.mp3","BrE")</f>
        <v/>
      </c>
      <c r="H2997" s="18">
        <f>HYPERLINK("D:\python\英语学习\voices\"&amp;B2997&amp;"_2.mp3","AmE")</f>
        <v/>
      </c>
      <c r="I2997" s="18">
        <f>HYPERLINK("http://dict.youdao.com/w/"&amp;B2997,"有道")</f>
        <v/>
      </c>
    </row>
    <row customHeight="1" ht="71.25" r="2998">
      <c r="A2998" s="1" t="inlineStr">
        <is>
          <t>practice</t>
        </is>
      </c>
      <c r="B2998" s="1" t="inlineStr">
        <is>
          <t>muster</t>
        </is>
      </c>
      <c r="C2998" s="7">
        <f>"vt. 召集；对…进行点名；使振作"&amp;CHAR(10)&amp;"n. 集合；检阅；点名册；集合人员"&amp;CHAR(10)&amp;"vi. 召集；聚集"&amp;CHAR(10)&amp;"n. (Muster)人名；(德、罗)穆斯特尔；(英)马斯特"</f>
        <v/>
      </c>
      <c r="G2998" s="18">
        <f>HYPERLINK("D:\python\英语学习\voices\"&amp;B2998&amp;"_1.mp3","BrE")</f>
        <v/>
      </c>
      <c r="H2998" s="18">
        <f>HYPERLINK("D:\python\英语学习\voices\"&amp;B2998&amp;"_2.mp3","AmE")</f>
        <v/>
      </c>
      <c r="I2998" s="18">
        <f>HYPERLINK("http://dict.youdao.com/w/"&amp;B2998,"有道")</f>
        <v/>
      </c>
    </row>
    <row r="2999">
      <c r="B2999" s="1" t="inlineStr">
        <is>
          <t>perplexed</t>
        </is>
      </c>
      <c r="C2999" s="7">
        <f>"adj. 困惑的；不知所措的"</f>
        <v/>
      </c>
      <c r="G2999" s="18">
        <f>HYPERLINK("D:\python\英语学习\voices\"&amp;B2999&amp;"_1.mp3","BrE")</f>
        <v/>
      </c>
      <c r="H2999" s="18">
        <f>HYPERLINK("D:\python\英语学习\voices\"&amp;B2999&amp;"_2.mp3","AmE")</f>
        <v/>
      </c>
      <c r="I2999" s="18">
        <f>HYPERLINK("http://dict.youdao.com/w/"&amp;B2999,"有道")</f>
        <v/>
      </c>
    </row>
    <row r="3000">
      <c r="B3000" s="1" t="inlineStr">
        <is>
          <t>dependable</t>
        </is>
      </c>
      <c r="C3000" s="7">
        <f>"adj. 可靠的，可信赖的；可信任的"</f>
        <v/>
      </c>
      <c r="G3000" s="18">
        <f>HYPERLINK("D:\python\英语学习\voices\"&amp;B3000&amp;"_1.mp3","BrE")</f>
        <v/>
      </c>
      <c r="H3000" s="18">
        <f>HYPERLINK("D:\python\英语学习\voices\"&amp;B3000&amp;"_2.mp3","AmE")</f>
        <v/>
      </c>
      <c r="I3000" s="18">
        <f>HYPERLINK("http://dict.youdao.com/w/"&amp;B3000,"有道")</f>
        <v/>
      </c>
    </row>
    <row customHeight="1" ht="42.75" r="3001">
      <c r="B3001" s="1" t="inlineStr">
        <is>
          <t>mercurial</t>
        </is>
      </c>
      <c r="C3001" s="7">
        <f>"adj. 水银的；水星的；墨丘利神的；雄辩机智的；活泼善变的"&amp;CHAR(10)&amp;"n. 汞剂；水银剂"</f>
        <v/>
      </c>
      <c r="G3001" s="18">
        <f>HYPERLINK("D:\python\英语学习\voices\"&amp;B3001&amp;"_1.mp3","BrE")</f>
        <v/>
      </c>
      <c r="H3001" s="18">
        <f>HYPERLINK("D:\python\英语学习\voices\"&amp;B3001&amp;"_2.mp3","AmE")</f>
        <v/>
      </c>
      <c r="I3001" s="18">
        <f>HYPERLINK("http://dict.youdao.com/w/"&amp;B3001,"有道")</f>
        <v/>
      </c>
    </row>
    <row customHeight="1" ht="71.25" r="3002">
      <c r="A3002" s="1" t="inlineStr">
        <is>
          <t>practice</t>
        </is>
      </c>
      <c r="B3002" s="1" t="inlineStr">
        <is>
          <t>strain</t>
        </is>
      </c>
      <c r="C3002" s="7">
        <f>"n. 张力；拉紧；负担；扭伤；血缘"&amp;CHAR(10)&amp;"vi. 拉紧；尽力"&amp;CHAR(10)&amp;"vt. 拉紧；滥用；滤去；竭力"&amp;CHAR(10)&amp;"n. (Strain)人名；(英)斯特兰"&amp;CHAR(10)&amp;"n. （植物、动物的）品种；种类"</f>
        <v/>
      </c>
      <c r="G3002" s="18">
        <f>HYPERLINK("D:\python\英语学习\voices\"&amp;B3002&amp;"_1.mp3","BrE")</f>
        <v/>
      </c>
      <c r="H3002" s="18">
        <f>HYPERLINK("D:\python\英语学习\voices\"&amp;B3002&amp;"_2.mp3","AmE")</f>
        <v/>
      </c>
      <c r="I3002" s="18">
        <f>HYPERLINK("http://dict.youdao.com/w/"&amp;B3002,"有道")</f>
        <v/>
      </c>
    </row>
    <row customHeight="1" ht="28.5" r="3003">
      <c r="A3003" s="1" t="inlineStr">
        <is>
          <t>practice</t>
        </is>
      </c>
      <c r="B3003" s="1" t="inlineStr">
        <is>
          <t>feud</t>
        </is>
      </c>
      <c r="C3003" s="7">
        <f>"n. 不和；争执；封地;（部落或家族间的）世仇"&amp;CHAR(10)&amp;"vi. 长期不和；长期争斗"</f>
        <v/>
      </c>
      <c r="G3003" s="18">
        <f>HYPERLINK("D:\python\英语学习\voices\"&amp;B3003&amp;"_1.mp3","BrE")</f>
        <v/>
      </c>
      <c r="H3003" s="18">
        <f>HYPERLINK("D:\python\英语学习\voices\"&amp;B3003&amp;"_2.mp3","AmE")</f>
        <v/>
      </c>
      <c r="I3003" s="18">
        <f>HYPERLINK("http://dict.youdao.com/w/"&amp;B3003,"有道")</f>
        <v/>
      </c>
    </row>
    <row customHeight="1" ht="29.1" r="3004">
      <c r="A3004" s="1" t="inlineStr">
        <is>
          <t>practice</t>
        </is>
      </c>
      <c r="B3004" s="1" t="inlineStr">
        <is>
          <t>grandeur</t>
        </is>
      </c>
      <c r="C3004" s="7">
        <f>"n. 壮丽；庄严；宏伟"</f>
        <v/>
      </c>
      <c r="G3004" s="18">
        <f>HYPERLINK("D:\python\英语学习\voices\"&amp;B3004&amp;"_1.mp3","BrE")</f>
        <v/>
      </c>
      <c r="H3004" s="18">
        <f>HYPERLINK("D:\python\英语学习\voices\"&amp;B3004&amp;"_2.mp3","AmE")</f>
        <v/>
      </c>
      <c r="I3004" s="18">
        <f>HYPERLINK("http://dict.youdao.com/w/"&amp;B3004,"有道")</f>
        <v/>
      </c>
    </row>
    <row customHeight="1" ht="28.5" r="3005">
      <c r="A3005" s="1" t="inlineStr">
        <is>
          <t>practice</t>
        </is>
      </c>
      <c r="B3005" s="1" t="inlineStr">
        <is>
          <t>persecution</t>
        </is>
      </c>
      <c r="C3005" s="7">
        <f>"n. 迫害；烦扰"</f>
        <v/>
      </c>
      <c r="G3005" s="18">
        <f>HYPERLINK("D:\python\英语学习\voices\"&amp;B3005&amp;"_1.mp3","BrE")</f>
        <v/>
      </c>
      <c r="H3005" s="18">
        <f>HYPERLINK("D:\python\英语学习\voices\"&amp;B3005&amp;"_2.mp3","AmE")</f>
        <v/>
      </c>
      <c r="I3005" s="18">
        <f>HYPERLINK("http://dict.youdao.com/w/"&amp;B3005,"有道")</f>
        <v/>
      </c>
    </row>
    <row customHeight="1" ht="42.75" r="3006">
      <c r="A3006" s="1" t="inlineStr">
        <is>
          <t>practice</t>
        </is>
      </c>
      <c r="B3006" s="1" t="inlineStr">
        <is>
          <t>sanction</t>
        </is>
      </c>
      <c r="C3006" s="7">
        <f>"n. 制裁，处罚；认可；支持"&amp;CHAR(10)&amp;"vt. 制裁，处罚；批准；鼓励"</f>
        <v/>
      </c>
      <c r="G3006" s="18">
        <f>HYPERLINK("D:\python\英语学习\voices\"&amp;B3006&amp;"_1.mp3","BrE")</f>
        <v/>
      </c>
      <c r="H3006" s="18">
        <f>HYPERLINK("D:\python\英语学习\voices\"&amp;B3006&amp;"_2.mp3","AmE")</f>
        <v/>
      </c>
      <c r="I3006" s="18">
        <f>HYPERLINK("http://dict.youdao.com/w/"&amp;B3006,"有道")</f>
        <v/>
      </c>
    </row>
    <row customHeight="1" ht="28.5" r="3007">
      <c r="A3007" s="1" t="inlineStr">
        <is>
          <t>practice</t>
        </is>
      </c>
      <c r="B3007" s="1" t="inlineStr">
        <is>
          <t>affable</t>
        </is>
      </c>
      <c r="C3007" s="7">
        <f>"adj. 和蔼可亲的；友善的"</f>
        <v/>
      </c>
      <c r="G3007" s="18">
        <f>HYPERLINK("D:\python\英语学习\voices\"&amp;B3007&amp;"_1.mp3","BrE")</f>
        <v/>
      </c>
      <c r="H3007" s="18">
        <f>HYPERLINK("D:\python\英语学习\voices\"&amp;B3007&amp;"_2.mp3","AmE")</f>
        <v/>
      </c>
      <c r="I3007" s="18">
        <f>HYPERLINK("http://dict.youdao.com/w/"&amp;B3007,"有道")</f>
        <v/>
      </c>
    </row>
    <row customHeight="1" ht="28.5" r="3008">
      <c r="A3008" s="1" t="inlineStr">
        <is>
          <t>practice</t>
        </is>
      </c>
      <c r="B3008" s="1" t="inlineStr">
        <is>
          <t>affiliated</t>
        </is>
      </c>
      <c r="C3008" s="7">
        <f>"adj. 附属的；有关连的"&amp;CHAR(10)&amp;"v. 使隶属；加入（affiliate的过去分词）"</f>
        <v/>
      </c>
      <c r="E3008" s="6" t="inlineStr">
        <is>
          <t>affiliated highschool附中</t>
        </is>
      </c>
      <c r="G3008" s="18">
        <f>HYPERLINK("D:\python\英语学习\voices\"&amp;B3008&amp;"_1.mp3","BrE")</f>
        <v/>
      </c>
      <c r="H3008" s="18">
        <f>HYPERLINK("D:\python\英语学习\voices\"&amp;B3008&amp;"_2.mp3","AmE")</f>
        <v/>
      </c>
      <c r="I3008" s="18">
        <f>HYPERLINK("http://dict.youdao.com/w/"&amp;B3008,"有道")</f>
        <v/>
      </c>
    </row>
    <row customHeight="1" ht="42.75" r="3009">
      <c r="A3009" s="1" t="inlineStr">
        <is>
          <t>practice</t>
        </is>
      </c>
      <c r="B3009" s="1" t="inlineStr">
        <is>
          <t>benevolent</t>
        </is>
      </c>
      <c r="C3009" s="7">
        <f>"adj. 仁慈的；慈善的；亲切的"</f>
        <v/>
      </c>
      <c r="G3009" s="18">
        <f>HYPERLINK("D:\python\英语学习\voices\"&amp;B3009&amp;"_1.mp3","BrE")</f>
        <v/>
      </c>
      <c r="H3009" s="18">
        <f>HYPERLINK("D:\python\英语学习\voices\"&amp;B3009&amp;"_2.mp3","AmE")</f>
        <v/>
      </c>
      <c r="I3009" s="18">
        <f>HYPERLINK("http://dict.youdao.com/w/"&amp;B3009,"有道")</f>
        <v/>
      </c>
    </row>
    <row customHeight="1" ht="28.5" r="3010">
      <c r="A3010" s="1" t="inlineStr">
        <is>
          <t>practice</t>
        </is>
      </c>
      <c r="B3010" s="1" t="inlineStr">
        <is>
          <t>blatant</t>
        </is>
      </c>
      <c r="C3010" s="7">
        <f>"adj. 喧嚣的；公然的；炫耀的；俗丽的"</f>
        <v/>
      </c>
      <c r="G3010" s="18">
        <f>HYPERLINK("D:\python\英语学习\voices\"&amp;B3010&amp;"_1.mp3","BrE")</f>
        <v/>
      </c>
      <c r="H3010" s="18">
        <f>HYPERLINK("D:\python\英语学习\voices\"&amp;B3010&amp;"_2.mp3","AmE")</f>
        <v/>
      </c>
      <c r="I3010" s="18">
        <f>HYPERLINK("http://dict.youdao.com/w/"&amp;B3010,"有道")</f>
        <v/>
      </c>
    </row>
    <row r="3011">
      <c r="B3011" s="1" t="inlineStr">
        <is>
          <t>fervent</t>
        </is>
      </c>
      <c r="C3011" s="7">
        <f>"adj. 热心的；强烈的；炽热的；热烈的"</f>
        <v/>
      </c>
      <c r="G3011" s="18">
        <f>HYPERLINK("D:\python\英语学习\voices\"&amp;B3011&amp;"_1.mp3","BrE")</f>
        <v/>
      </c>
      <c r="H3011" s="18">
        <f>HYPERLINK("D:\python\英语学习\voices\"&amp;B3011&amp;"_2.mp3","AmE")</f>
        <v/>
      </c>
      <c r="I3011" s="18">
        <f>HYPERLINK("http://dict.youdao.com/w/"&amp;B3011,"有道")</f>
        <v/>
      </c>
    </row>
    <row customHeight="1" ht="28.5" r="3012">
      <c r="B3012" s="1" t="inlineStr">
        <is>
          <t>ardent</t>
        </is>
      </c>
      <c r="C3012" s="7">
        <f>"adj. 热情的；热心的；激烈的；燃烧般的"&amp;CHAR(10)&amp;"n. (Ardent)人名；(法)阿尔当"</f>
        <v/>
      </c>
      <c r="G3012" s="18">
        <f>HYPERLINK("D:\python\英语学习\voices\"&amp;B3012&amp;"_1.mp3","BrE")</f>
        <v/>
      </c>
      <c r="H3012" s="18">
        <f>HYPERLINK("D:\python\英语学习\voices\"&amp;B3012&amp;"_2.mp3","AmE")</f>
        <v/>
      </c>
      <c r="I3012" s="18">
        <f>HYPERLINK("http://dict.youdao.com/w/"&amp;B3012,"有道")</f>
        <v/>
      </c>
    </row>
    <row r="3013">
      <c r="B3013" s="1" t="inlineStr">
        <is>
          <t>upcoming</t>
        </is>
      </c>
      <c r="C3013" s="7">
        <f>"adj. 即将来临的"</f>
        <v/>
      </c>
      <c r="G3013" s="18">
        <f>HYPERLINK("D:\python\英语学习\voices\"&amp;B3013&amp;"_1.mp3","BrE")</f>
        <v/>
      </c>
      <c r="H3013" s="18">
        <f>HYPERLINK("D:\python\英语学习\voices\"&amp;B3013&amp;"_2.mp3","AmE")</f>
        <v/>
      </c>
      <c r="I3013" s="18">
        <f>HYPERLINK("http://dict.youdao.com/w/"&amp;B3013,"有道")</f>
        <v/>
      </c>
    </row>
    <row r="3014">
      <c r="B3014" s="1" t="inlineStr">
        <is>
          <t>frantic</t>
        </is>
      </c>
      <c r="C3014" s="7">
        <f>"adj. 狂乱的，疯狂的"</f>
        <v/>
      </c>
      <c r="G3014" s="18">
        <f>HYPERLINK("D:\python\英语学习\voices\"&amp;B3014&amp;"_1.mp3","BrE")</f>
        <v/>
      </c>
      <c r="H3014" s="18">
        <f>HYPERLINK("D:\python\英语学习\voices\"&amp;B3014&amp;"_2.mp3","AmE")</f>
        <v/>
      </c>
      <c r="I3014" s="18">
        <f>HYPERLINK("http://dict.youdao.com/w/"&amp;B3014,"有道")</f>
        <v/>
      </c>
    </row>
    <row r="3015">
      <c r="B3015" s="1" t="inlineStr">
        <is>
          <t>fractious</t>
        </is>
      </c>
      <c r="C3015" s="7">
        <f>"adj. 易怒的；倔强的，难以对待的"</f>
        <v/>
      </c>
      <c r="G3015" s="18">
        <f>HYPERLINK("D:\python\英语学习\voices\"&amp;B3015&amp;"_1.mp3","BrE")</f>
        <v/>
      </c>
      <c r="H3015" s="18">
        <f>HYPERLINK("D:\python\英语学习\voices\"&amp;B3015&amp;"_2.mp3","AmE")</f>
        <v/>
      </c>
      <c r="I3015" s="18">
        <f>HYPERLINK("http://dict.youdao.com/w/"&amp;B3015,"有道")</f>
        <v/>
      </c>
    </row>
    <row customHeight="1" ht="28.5" r="3016">
      <c r="B3016" s="1" t="inlineStr">
        <is>
          <t>full-fledged</t>
        </is>
      </c>
      <c r="C3016" s="7">
        <f>"adj. 全面发展的；经过全面训练的；成熟的；有充分资格的；羽毛生齐的"</f>
        <v/>
      </c>
      <c r="G3016" s="18">
        <f>HYPERLINK("D:\python\英语学习\voices\"&amp;B3016&amp;"_1.mp3","BrE")</f>
        <v/>
      </c>
      <c r="H3016" s="18">
        <f>HYPERLINK("D:\python\英语学习\voices\"&amp;B3016&amp;"_2.mp3","AmE")</f>
        <v/>
      </c>
      <c r="I3016" s="18">
        <f>HYPERLINK("http://dict.youdao.com/w/"&amp;B3016,"有道")</f>
        <v/>
      </c>
    </row>
    <row customHeight="1" ht="29.1" r="3017">
      <c r="B3017" s="1" t="inlineStr">
        <is>
          <t>furious</t>
        </is>
      </c>
      <c r="C3017" s="7">
        <f>"adj. 激烈的；狂怒的；热烈兴奋的；喧闹的"</f>
        <v/>
      </c>
      <c r="G3017" s="18">
        <f>HYPERLINK("D:\python\英语学习\voices\"&amp;B3017&amp;"_1.mp3","BrE")</f>
        <v/>
      </c>
      <c r="H3017" s="18">
        <f>HYPERLINK("D:\python\英语学习\voices\"&amp;B3017&amp;"_2.mp3","AmE")</f>
        <v/>
      </c>
      <c r="I3017" s="18">
        <f>HYPERLINK("http://dict.youdao.com/w/"&amp;B3017,"有道")</f>
        <v/>
      </c>
    </row>
    <row customHeight="1" ht="71.25" r="3018">
      <c r="B3018" s="1" t="inlineStr">
        <is>
          <t>giddy</t>
        </is>
      </c>
      <c r="C3018" s="7">
        <f>"adj. 头晕的；眼花的；令人眼花缭乱的；轻浮的"&amp;CHAR(10)&amp;"vt. 使晕眩；使眼花缭乱"&amp;CHAR(10)&amp;"vi. 眼花；眩晕"&amp;CHAR(10)&amp;"n. (Giddy)人名；(英)吉迪"</f>
        <v/>
      </c>
      <c r="G3018" s="18">
        <f>HYPERLINK("D:\python\英语学习\voices\"&amp;B3018&amp;"_1.mp3","BrE")</f>
        <v/>
      </c>
      <c r="H3018" s="18">
        <f>HYPERLINK("D:\python\英语学习\voices\"&amp;B3018&amp;"_2.mp3","AmE")</f>
        <v/>
      </c>
      <c r="I3018" s="18">
        <f>HYPERLINK("http://dict.youdao.com/w/"&amp;B3018,"有道")</f>
        <v/>
      </c>
    </row>
    <row customHeight="1" ht="42.75" r="3019">
      <c r="B3019" s="1" t="inlineStr">
        <is>
          <t>heady</t>
        </is>
      </c>
      <c r="C3019" s="7">
        <f>"adj. 兴奋的；任性的；性急的；顽固的；使人头晕的；令人陶醉的"&amp;CHAR(10)&amp;"n. (Heady)人名；(英)黑迪"</f>
        <v/>
      </c>
      <c r="G3019" s="18">
        <f>HYPERLINK("D:\python\英语学习\voices\"&amp;B3019&amp;"_1.mp3","BrE")</f>
        <v/>
      </c>
      <c r="H3019" s="18">
        <f>HYPERLINK("D:\python\英语学习\voices\"&amp;B3019&amp;"_2.mp3","AmE")</f>
        <v/>
      </c>
      <c r="I3019" s="18">
        <f>HYPERLINK("http://dict.youdao.com/w/"&amp;B3019,"有道")</f>
        <v/>
      </c>
    </row>
    <row r="3020">
      <c r="A3020" s="1" t="inlineStr">
        <is>
          <t>practice</t>
        </is>
      </c>
      <c r="B3020" s="1" t="inlineStr">
        <is>
          <t>capricious</t>
        </is>
      </c>
      <c r="C3020" s="7">
        <f>"adj. 反复无常的；任性的"</f>
        <v/>
      </c>
      <c r="G3020" s="18">
        <f>HYPERLINK("D:\python\英语学习\voices\"&amp;B3020&amp;"_1.mp3","BrE")</f>
        <v/>
      </c>
      <c r="H3020" s="18">
        <f>HYPERLINK("D:\python\英语学习\voices\"&amp;B3020&amp;"_2.mp3","AmE")</f>
        <v/>
      </c>
      <c r="I3020" s="18">
        <f>HYPERLINK("http://dict.youdao.com/w/"&amp;B3020,"有道")</f>
        <v/>
      </c>
    </row>
    <row customHeight="1" ht="28.5" r="3021">
      <c r="A3021" s="1" t="inlineStr">
        <is>
          <t>practice</t>
        </is>
      </c>
      <c r="B3021" s="1" t="inlineStr">
        <is>
          <t>complacent</t>
        </is>
      </c>
      <c r="C3021" s="7">
        <f>"adj. 自满的；得意的；满足的"</f>
        <v/>
      </c>
      <c r="G3021" s="18">
        <f>HYPERLINK("D:\python\英语学习\voices\"&amp;B3021&amp;"_1.mp3","BrE")</f>
        <v/>
      </c>
      <c r="H3021" s="18">
        <f>HYPERLINK("D:\python\英语学习\voices\"&amp;B3021&amp;"_2.mp3","AmE")</f>
        <v/>
      </c>
      <c r="I3021" s="18">
        <f>HYPERLINK("http://dict.youdao.com/w/"&amp;B3021,"有道")</f>
        <v/>
      </c>
    </row>
    <row customHeight="1" ht="29.1" r="3022">
      <c r="B3022" s="1" t="inlineStr">
        <is>
          <t>inherent</t>
        </is>
      </c>
      <c r="C3022" s="7">
        <f>"adj. 固有的；内在的；与生俱来的，遗传的"</f>
        <v/>
      </c>
      <c r="G3022" s="18">
        <f>HYPERLINK("D:\python\英语学习\voices\"&amp;B3022&amp;"_1.mp3","BrE")</f>
        <v/>
      </c>
      <c r="H3022" s="18">
        <f>HYPERLINK("D:\python\英语学习\voices\"&amp;B3022&amp;"_2.mp3","AmE")</f>
        <v/>
      </c>
      <c r="I3022" s="18">
        <f>HYPERLINK("http://dict.youdao.com/w/"&amp;B3022,"有道")</f>
        <v/>
      </c>
    </row>
    <row r="3023">
      <c r="B3023" s="1" t="inlineStr">
        <is>
          <t>lucrative</t>
        </is>
      </c>
      <c r="C3023" s="7">
        <f>"adj. 获利多的"</f>
        <v/>
      </c>
      <c r="E3023" s="16" t="inlineStr">
        <is>
          <t>'=profitable</t>
        </is>
      </c>
      <c r="G3023" s="18">
        <f>HYPERLINK("D:\python\英语学习\voices\"&amp;B3023&amp;"_1.mp3","BrE")</f>
        <v/>
      </c>
      <c r="H3023" s="18">
        <f>HYPERLINK("D:\python\英语学习\voices\"&amp;B3023&amp;"_2.mp3","AmE")</f>
        <v/>
      </c>
      <c r="I3023" s="18">
        <f>HYPERLINK("http://dict.youdao.com/w/"&amp;B3023,"有道")</f>
        <v/>
      </c>
    </row>
    <row customHeight="1" ht="99.75" r="3024">
      <c r="B3024" s="1" t="inlineStr">
        <is>
          <t>mock</t>
        </is>
      </c>
      <c r="C3024" s="7">
        <f>"v. 嘲笑，（通过模仿）嘲弄；不尊重，蔑视；使显得可笑"&amp;CHAR(10)&amp;"adj. 虚假的，不诚实的；模拟的，仿制的"&amp;CHAR(10)&amp;"n. （非正式）英国模拟考试；笑柄；嘲笑；模仿，仿造（品）"&amp;CHAR(10)&amp;"adv. 虚假地，不诚实地"&amp;CHAR(10)&amp;"n. (Mock) （美、德）莫克（人名）"</f>
        <v/>
      </c>
      <c r="E3024" s="6" t="inlineStr">
        <is>
          <t>好多意思</t>
        </is>
      </c>
      <c r="G3024" s="18">
        <f>HYPERLINK("D:\python\英语学习\voices\"&amp;B3024&amp;"_1.mp3","BrE")</f>
        <v/>
      </c>
      <c r="H3024" s="18">
        <f>HYPERLINK("D:\python\英语学习\voices\"&amp;B3024&amp;"_2.mp3","AmE")</f>
        <v/>
      </c>
      <c r="I3024" s="18">
        <f>HYPERLINK("http://dict.youdao.com/w/"&amp;B3024,"有道")</f>
        <v/>
      </c>
    </row>
    <row customHeight="1" ht="28.5" r="3025">
      <c r="B3025" s="1" t="inlineStr">
        <is>
          <t>poised</t>
        </is>
      </c>
      <c r="C3025" s="7">
        <f>"adj. 泰然自若的，镇定的；平衡的，均衡的；摆好姿势不动的，静止的"</f>
        <v/>
      </c>
      <c r="G3025" s="18">
        <f>HYPERLINK("D:\python\英语学习\voices\"&amp;B3025&amp;"_1.mp3","BrE")</f>
        <v/>
      </c>
      <c r="H3025" s="18">
        <f>HYPERLINK("D:\python\英语学习\voices\"&amp;B3025&amp;"_2.mp3","AmE")</f>
        <v/>
      </c>
      <c r="I3025" s="18">
        <f>HYPERLINK("http://dict.youdao.com/w/"&amp;B3025,"有道")</f>
        <v/>
      </c>
    </row>
    <row customHeight="1" ht="57" r="3026">
      <c r="B3026" s="1" t="inlineStr">
        <is>
          <t>poise</t>
        </is>
      </c>
      <c r="C3026" s="7">
        <f>"n. 平衡；姿势；镇静"&amp;CHAR(10)&amp;"vt. 使平衡；保持...姿势"&amp;CHAR(10)&amp;"vi. 平衡；准备好；悬着"&amp;CHAR(10)&amp;"n. (Poise)人名；(法)普瓦斯"</f>
        <v/>
      </c>
      <c r="G3026" s="18">
        <f>HYPERLINK("D:\python\英语学习\voices\"&amp;B3026&amp;"_1.mp3","BrE")</f>
        <v/>
      </c>
      <c r="H3026" s="18">
        <f>HYPERLINK("D:\python\英语学习\voices\"&amp;B3026&amp;"_2.mp3","AmE")</f>
        <v/>
      </c>
      <c r="I3026" s="18">
        <f>HYPERLINK("http://dict.youdao.com/w/"&amp;B3026,"有道")</f>
        <v/>
      </c>
    </row>
    <row r="3027">
      <c r="B3027" s="1" t="inlineStr">
        <is>
          <t>placid</t>
        </is>
      </c>
      <c r="C3027" s="7">
        <f>"adj. 平静的；温和的；沉着的"</f>
        <v/>
      </c>
      <c r="E3027" s="10" t="inlineStr">
        <is>
          <t>=tranquil</t>
        </is>
      </c>
      <c r="G3027" s="18">
        <f>HYPERLINK("D:\python\英语学习\voices\"&amp;B3027&amp;"_1.mp3","BrE")</f>
        <v/>
      </c>
      <c r="H3027" s="18">
        <f>HYPERLINK("D:\python\英语学习\voices\"&amp;B3027&amp;"_2.mp3","AmE")</f>
        <v/>
      </c>
      <c r="I3027" s="18">
        <f>HYPERLINK("http://dict.youdao.com/w/"&amp;B3027,"有道")</f>
        <v/>
      </c>
    </row>
    <row customHeight="1" ht="28.5" r="3028">
      <c r="A3028" s="1" t="inlineStr">
        <is>
          <t>practice</t>
        </is>
      </c>
      <c r="B3028" s="1" t="inlineStr">
        <is>
          <t>congenial</t>
        </is>
      </c>
      <c r="C3028" s="7">
        <f>"adj. 意气相投的；性格相似的；适意的；一致的"</f>
        <v/>
      </c>
      <c r="G3028" s="18">
        <f>HYPERLINK("D:\python\英语学习\voices\"&amp;B3028&amp;"_1.mp3","BrE")</f>
        <v/>
      </c>
      <c r="H3028" s="18">
        <f>HYPERLINK("D:\python\英语学习\voices\"&amp;B3028&amp;"_2.mp3","AmE")</f>
        <v/>
      </c>
      <c r="I3028" s="18">
        <f>HYPERLINK("http://dict.youdao.com/w/"&amp;B3028,"有道")</f>
        <v/>
      </c>
    </row>
    <row r="3029">
      <c r="B3029" s="1" t="inlineStr">
        <is>
          <t>prestigious</t>
        </is>
      </c>
      <c r="C3029" s="7">
        <f>"adj. 享有声望的，受尊敬的，地位显赫的"</f>
        <v/>
      </c>
      <c r="E3029" s="6" t="inlineStr">
        <is>
          <t>注意拼写-prestige-prestigious</t>
        </is>
      </c>
      <c r="G3029" s="18">
        <f>HYPERLINK("D:\python\英语学习\voices\"&amp;B3029&amp;"_1.mp3","BrE")</f>
        <v/>
      </c>
      <c r="H3029" s="18">
        <f>HYPERLINK("D:\python\英语学习\voices\"&amp;B3029&amp;"_2.mp3","AmE")</f>
        <v/>
      </c>
      <c r="I3029" s="18">
        <f>HYPERLINK("http://dict.youdao.com/w/"&amp;B3029,"有道")</f>
        <v/>
      </c>
    </row>
    <row customHeight="1" ht="28.5" r="3030">
      <c r="B3030" s="1" t="inlineStr">
        <is>
          <t>quaint</t>
        </is>
      </c>
      <c r="C3030" s="7">
        <f>"adj. 古雅的；奇怪的；离奇有趣的；做得很精巧的"</f>
        <v/>
      </c>
      <c r="G3030" s="18">
        <f>HYPERLINK("D:\python\英语学习\voices\"&amp;B3030&amp;"_1.mp3","BrE")</f>
        <v/>
      </c>
      <c r="H3030" s="18">
        <f>HYPERLINK("D:\python\英语学习\voices\"&amp;B3030&amp;"_2.mp3","AmE")</f>
        <v/>
      </c>
      <c r="I3030" s="18">
        <f>HYPERLINK("http://dict.youdao.com/w/"&amp;B3030,"有道")</f>
        <v/>
      </c>
    </row>
    <row customHeight="1" ht="28.5" r="3031">
      <c r="B3031" s="1" t="inlineStr">
        <is>
          <t>rampage</t>
        </is>
      </c>
      <c r="C3031" s="7">
        <f>"v. 横冲直撞；狂暴；乱闹；发怒"&amp;CHAR(10)&amp;"n. 横冲直撞；暴怒；暴跳，狂暴的行为；乱闹"</f>
        <v/>
      </c>
      <c r="G3031" s="18">
        <f>HYPERLINK("D:\python\英语学习\voices\"&amp;B3031&amp;"_1.mp3","BrE")</f>
        <v/>
      </c>
      <c r="H3031" s="18">
        <f>HYPERLINK("D:\python\英语学习\voices\"&amp;B3031&amp;"_2.mp3","AmE")</f>
        <v/>
      </c>
      <c r="I3031" s="18">
        <f>HYPERLINK("http://dict.youdao.com/w/"&amp;B3031,"有道")</f>
        <v/>
      </c>
    </row>
    <row customHeight="1" ht="28.5" r="3032">
      <c r="A3032" s="1" t="inlineStr">
        <is>
          <t>practice</t>
        </is>
      </c>
      <c r="B3032" s="1" t="inlineStr">
        <is>
          <t>daunting</t>
        </is>
      </c>
      <c r="C3032" s="7">
        <f>"adj. 使人畏缩的；使人气馁的；令人怯步的"</f>
        <v/>
      </c>
      <c r="G3032" s="18">
        <f>HYPERLINK("D:\python\英语学习\voices\"&amp;B3032&amp;"_1.mp3","BrE")</f>
        <v/>
      </c>
      <c r="H3032" s="18">
        <f>HYPERLINK("D:\python\英语学习\voices\"&amp;B3032&amp;"_2.mp3","AmE")</f>
        <v/>
      </c>
      <c r="I3032" s="18">
        <f>HYPERLINK("http://dict.youdao.com/w/"&amp;B3032,"有道")</f>
        <v/>
      </c>
    </row>
    <row customHeight="1" ht="57" r="3033">
      <c r="B3033" s="1" t="inlineStr">
        <is>
          <t>rash</t>
        </is>
      </c>
      <c r="C3033" s="7">
        <f>"n. （皮肤）皮疹；（非正式）突然大量出现的事物"&amp;CHAR(10)&amp;"adj. 轻率的，鲁莽的；不顾后果的"&amp;CHAR(10)&amp;"n. (Rash) （美、俄、英）拉什（人名）"</f>
        <v/>
      </c>
      <c r="G3033" s="18">
        <f>HYPERLINK("D:\python\英语学习\voices\"&amp;B3033&amp;"_1.mp3","BrE")</f>
        <v/>
      </c>
      <c r="H3033" s="18">
        <f>HYPERLINK("D:\python\英语学习\voices\"&amp;B3033&amp;"_2.mp3","AmE")</f>
        <v/>
      </c>
      <c r="I3033" s="18">
        <f>HYPERLINK("http://dict.youdao.com/w/"&amp;B3033,"有道")</f>
        <v/>
      </c>
    </row>
    <row r="3034">
      <c r="B3034" s="1" t="inlineStr">
        <is>
          <t>evasion</t>
        </is>
      </c>
      <c r="C3034" s="7">
        <f>"n. 逃避；回避；借口"</f>
        <v/>
      </c>
      <c r="E3034" s="6" t="inlineStr">
        <is>
          <t>tax evasion逃税</t>
        </is>
      </c>
      <c r="G3034" s="18">
        <f>HYPERLINK("D:\python\英语学习\voices\"&amp;B3034&amp;"_1.mp3","BrE")</f>
        <v/>
      </c>
      <c r="H3034" s="18">
        <f>HYPERLINK("D:\python\英语学习\voices\"&amp;B3034&amp;"_2.mp3","AmE")</f>
        <v/>
      </c>
      <c r="I3034" s="18">
        <f>HYPERLINK("http://dict.youdao.com/w/"&amp;B3034,"有道")</f>
        <v/>
      </c>
    </row>
    <row customHeight="1" ht="28.5" r="3035">
      <c r="B3035" s="1" t="inlineStr">
        <is>
          <t>resurgent</t>
        </is>
      </c>
      <c r="C3035" s="7">
        <f>"adj. 复活的；复苏的"&amp;CHAR(10)&amp;"n. 复活者"</f>
        <v/>
      </c>
      <c r="G3035" s="18">
        <f>HYPERLINK("D:\python\英语学习\voices\"&amp;B3035&amp;"_1.mp3","BrE")</f>
        <v/>
      </c>
      <c r="H3035" s="18">
        <f>HYPERLINK("D:\python\英语学习\voices\"&amp;B3035&amp;"_2.mp3","AmE")</f>
        <v/>
      </c>
      <c r="I3035" s="18">
        <f>HYPERLINK("http://dict.youdao.com/w/"&amp;B3035,"有道")</f>
        <v/>
      </c>
    </row>
    <row customHeight="1" ht="71.25" r="3036">
      <c r="A3036" t="inlineStr">
        <is>
          <t>unnecessary</t>
        </is>
      </c>
      <c r="B3036" s="1" t="inlineStr">
        <is>
          <t>simmering</t>
        </is>
      </c>
      <c r="C3036" s="7">
        <f>"n. 气体漏泄时发出的叫声；激化状态，即将爆发的状态"&amp;CHAR(10)&amp;"vt. 慢煮（simmer的现在分词）"&amp;CHAR(10)&amp;"vi. 煨（simmer的现在分词）；（争吵或暴力）即将爆发"</f>
        <v/>
      </c>
      <c r="G3036" s="18">
        <f>HYPERLINK("D:\python\英语学习\voices\"&amp;B3036&amp;"_1.mp3","BrE")</f>
        <v/>
      </c>
      <c r="H3036" s="18">
        <f>HYPERLINK("D:\python\英语学习\voices\"&amp;B3036&amp;"_2.mp3","AmE")</f>
        <v/>
      </c>
      <c r="I3036" s="18">
        <f>HYPERLINK("http://dict.youdao.com/w/"&amp;B3036,"有道")</f>
        <v/>
      </c>
    </row>
    <row customHeight="1" ht="28.5" r="3037">
      <c r="A3037" s="1" t="inlineStr">
        <is>
          <t>practice</t>
        </is>
      </c>
      <c r="B3037" s="1" t="inlineStr">
        <is>
          <t>consummate</t>
        </is>
      </c>
      <c r="C3037" s="7">
        <f>"adj. 至上的；完美的；圆满的"&amp;CHAR(10)&amp;"vt. 完成；作成；使达到极点"</f>
        <v/>
      </c>
      <c r="G3037" s="18">
        <f>HYPERLINK("D:\python\英语学习\voices\"&amp;B3037&amp;"_1.mp3","BrE")</f>
        <v/>
      </c>
      <c r="H3037" s="18">
        <f>HYPERLINK("D:\python\英语学习\voices\"&amp;B3037&amp;"_2.mp3","AmE")</f>
        <v/>
      </c>
      <c r="I3037" s="18">
        <f>HYPERLINK("http://dict.youdao.com/w/"&amp;B3037,"有道")</f>
        <v/>
      </c>
    </row>
    <row customHeight="1" ht="57" r="3038">
      <c r="A3038" s="1" t="inlineStr">
        <is>
          <t>practice</t>
        </is>
      </c>
      <c r="B3038" s="1" t="inlineStr">
        <is>
          <t>eclectic</t>
        </is>
      </c>
      <c r="C3038" s="7">
        <f>"adj. 兼收并蓄的；不拘一格的；折中的，折中主义的"&amp;CHAR(10)&amp;"n. 兼收并蓄的人；折中派的人，折中主义者"</f>
        <v/>
      </c>
      <c r="G3038" s="18">
        <f>HYPERLINK("D:\python\英语学习\voices\"&amp;B3038&amp;"_1.mp3","BrE")</f>
        <v/>
      </c>
      <c r="H3038" s="18">
        <f>HYPERLINK("D:\python\英语学习\voices\"&amp;B3038&amp;"_2.mp3","AmE")</f>
        <v/>
      </c>
      <c r="I3038" s="18">
        <f>HYPERLINK("http://dict.youdao.com/w/"&amp;B3038,"有道")</f>
        <v/>
      </c>
    </row>
    <row r="3039">
      <c r="B3039" s="1" t="inlineStr">
        <is>
          <t>simultaneously</t>
        </is>
      </c>
      <c r="C3039" s="7">
        <f>"adv. 同时地"</f>
        <v/>
      </c>
      <c r="G3039" s="18">
        <f>HYPERLINK("D:\python\英语学习\voices\"&amp;B3039&amp;"_1.mp3","BrE")</f>
        <v/>
      </c>
      <c r="H3039" s="18">
        <f>HYPERLINK("D:\python\英语学习\voices\"&amp;B3039&amp;"_2.mp3","AmE")</f>
        <v/>
      </c>
      <c r="I3039" s="18">
        <f>HYPERLINK("http://dict.youdao.com/w/"&amp;B3039,"有道")</f>
        <v/>
      </c>
    </row>
    <row customHeight="1" ht="28.5" r="3040">
      <c r="A3040" s="1" t="inlineStr">
        <is>
          <t>practice</t>
        </is>
      </c>
      <c r="B3040" s="1" t="inlineStr">
        <is>
          <t>fanatic</t>
        </is>
      </c>
      <c r="C3040" s="7">
        <f>"n. 狂热入迷者；狂热分子，盲信者"&amp;CHAR(10)&amp;"adj. 狂热的；盲信的"</f>
        <v/>
      </c>
      <c r="G3040" s="18">
        <f>HYPERLINK("D:\python\英语学习\voices\"&amp;B3040&amp;"_1.mp3","BrE")</f>
        <v/>
      </c>
      <c r="H3040" s="18">
        <f>HYPERLINK("D:\python\英语学习\voices\"&amp;B3040&amp;"_2.mp3","AmE")</f>
        <v/>
      </c>
      <c r="I3040" s="18">
        <f>HYPERLINK("http://dict.youdao.com/w/"&amp;B3040,"有道")</f>
        <v/>
      </c>
    </row>
    <row customHeight="1" ht="42.75" r="3041">
      <c r="B3041" s="1" t="inlineStr">
        <is>
          <t>sprawling</t>
        </is>
      </c>
      <c r="C3041" s="7">
        <f>"adj. 蔓延的，杂乱延伸的"&amp;CHAR(10)&amp;"v. 伸开四肢坐、躺或倒下；蔓延，杂乱无序地拓展（sprawl 的现在分词）"</f>
        <v/>
      </c>
      <c r="G3041" s="18">
        <f>HYPERLINK("D:\python\英语学习\voices\"&amp;B3041&amp;"_1.mp3","BrE")</f>
        <v/>
      </c>
      <c r="H3041" s="18">
        <f>HYPERLINK("D:\python\英语学习\voices\"&amp;B3041&amp;"_2.mp3","AmE")</f>
        <v/>
      </c>
      <c r="I3041" s="18">
        <f>HYPERLINK("http://dict.youdao.com/w/"&amp;B3041,"有道")</f>
        <v/>
      </c>
    </row>
    <row r="3042">
      <c r="A3042" s="1" t="inlineStr">
        <is>
          <t>practice</t>
        </is>
      </c>
      <c r="B3042" s="1" t="inlineStr">
        <is>
          <t>enigmatic</t>
        </is>
      </c>
      <c r="C3042" s="7">
        <f>"adj. 神秘的；高深莫测的；谜一般的"</f>
        <v/>
      </c>
      <c r="E3042" s="6" t="inlineStr">
        <is>
          <t>enigma</t>
        </is>
      </c>
      <c r="G3042" s="18">
        <f>HYPERLINK("D:\python\英语学习\voices\"&amp;B3042&amp;"_1.mp3","BrE")</f>
        <v/>
      </c>
      <c r="H3042" s="18">
        <f>HYPERLINK("D:\python\英语学习\voices\"&amp;B3042&amp;"_2.mp3","AmE")</f>
        <v/>
      </c>
      <c r="I3042" s="18">
        <f>HYPERLINK("http://dict.youdao.com/w/"&amp;B3042,"有道")</f>
        <v/>
      </c>
    </row>
    <row r="3043">
      <c r="B3043" s="1" t="inlineStr">
        <is>
          <t>subsequent</t>
        </is>
      </c>
      <c r="C3043" s="7">
        <f>"adj. 随后的"</f>
        <v/>
      </c>
      <c r="G3043" s="18">
        <f>HYPERLINK("D:\python\英语学习\voices\"&amp;B3043&amp;"_1.mp3","BrE")</f>
        <v/>
      </c>
      <c r="H3043" s="18">
        <f>HYPERLINK("D:\python\英语学习\voices\"&amp;B3043&amp;"_2.mp3","AmE")</f>
        <v/>
      </c>
      <c r="I3043" s="18">
        <f>HYPERLINK("http://dict.youdao.com/w/"&amp;B3043,"有道")</f>
        <v/>
      </c>
    </row>
    <row customHeight="1" ht="28.5" r="3044">
      <c r="A3044" s="1" t="inlineStr">
        <is>
          <t>practice</t>
        </is>
      </c>
      <c r="B3044" s="1" t="inlineStr">
        <is>
          <t>exuberant</t>
        </is>
      </c>
      <c r="C3044" s="7">
        <f>"adj. 精力充沛的，热情洋溢的；兴高采烈的；繁茂的，茂盛的；充满生气的，鲜艳的；充满活力和想象力的"</f>
        <v/>
      </c>
      <c r="G3044" s="18">
        <f>HYPERLINK("D:\python\英语学习\voices\"&amp;B3044&amp;"_1.mp3","BrE")</f>
        <v/>
      </c>
      <c r="H3044" s="18">
        <f>HYPERLINK("D:\python\英语学习\voices\"&amp;B3044&amp;"_2.mp3","AmE")</f>
        <v/>
      </c>
      <c r="I3044" s="18">
        <f>HYPERLINK("http://dict.youdao.com/w/"&amp;B3044,"有道")</f>
        <v/>
      </c>
    </row>
    <row customHeight="1" ht="28.5" r="3045">
      <c r="A3045" s="1" t="inlineStr">
        <is>
          <t>practice</t>
        </is>
      </c>
      <c r="B3045" s="1" t="inlineStr">
        <is>
          <t>exultant</t>
        </is>
      </c>
      <c r="C3045" s="7">
        <f>"adj. 非常高兴的；欢跃的；狂喜的；欢欣鼓舞的"</f>
        <v/>
      </c>
      <c r="G3045" s="18">
        <f>HYPERLINK("D:\python\英语学习\voices\"&amp;B3045&amp;"_1.mp3","BrE")</f>
        <v/>
      </c>
      <c r="H3045" s="18">
        <f>HYPERLINK("D:\python\英语学习\voices\"&amp;B3045&amp;"_2.mp3","AmE")</f>
        <v/>
      </c>
      <c r="I3045" s="18">
        <f>HYPERLINK("http://dict.youdao.com/w/"&amp;B3045,"有道")</f>
        <v/>
      </c>
    </row>
    <row r="3046">
      <c r="B3046" s="1" t="inlineStr">
        <is>
          <t>turbulent</t>
        </is>
      </c>
      <c r="C3046" s="7">
        <f>"adj. 动荡的；湍流的；与紊流有关的"</f>
        <v/>
      </c>
      <c r="E3046" s="16" t="inlineStr">
        <is>
          <t>动荡</t>
        </is>
      </c>
      <c r="G3046" s="18">
        <f>HYPERLINK("D:\python\英语学习\voices\"&amp;B3046&amp;"_1.mp3","BrE")</f>
        <v/>
      </c>
      <c r="H3046" s="18">
        <f>HYPERLINK("D:\python\英语学习\voices\"&amp;B3046&amp;"_2.mp3","AmE")</f>
        <v/>
      </c>
      <c r="I3046" s="18">
        <f>HYPERLINK("http://dict.youdao.com/w/"&amp;B3046,"有道")</f>
        <v/>
      </c>
    </row>
    <row r="3047">
      <c r="A3047" s="1" t="inlineStr">
        <is>
          <t>practice</t>
        </is>
      </c>
      <c r="B3047" s="1" t="inlineStr">
        <is>
          <t>incessant</t>
        </is>
      </c>
      <c r="C3047" s="7">
        <f>"adj. 不断的；不停的；连续的"</f>
        <v/>
      </c>
      <c r="G3047" s="18">
        <f>HYPERLINK("D:\python\英语学习\voices\"&amp;B3047&amp;"_1.mp3","BrE")</f>
        <v/>
      </c>
      <c r="H3047" s="18">
        <f>HYPERLINK("D:\python\英语学习\voices\"&amp;B3047&amp;"_2.mp3","AmE")</f>
        <v/>
      </c>
      <c r="I3047" s="18">
        <f>HYPERLINK("http://dict.youdao.com/w/"&amp;B3047,"有道")</f>
        <v/>
      </c>
    </row>
    <row customHeight="1" ht="28.5" r="3048">
      <c r="B3048" s="1" t="inlineStr">
        <is>
          <t>exploit</t>
        </is>
      </c>
      <c r="C3048" s="7">
        <f>"vt. 开发，开拓；剥削；开采"&amp;CHAR(10)&amp;"n. 勋绩；功绩"</f>
        <v/>
      </c>
      <c r="G3048" s="18">
        <f>HYPERLINK("D:\python\英语学习\voices\"&amp;B3048&amp;"_1.mp3","BrE")</f>
        <v/>
      </c>
      <c r="H3048" s="18">
        <f>HYPERLINK("D:\python\英语学习\voices\"&amp;B3048&amp;"_2.mp3","AmE")</f>
        <v/>
      </c>
      <c r="I3048" s="18">
        <f>HYPERLINK("http://dict.youdao.com/w/"&amp;B3048,"有道")</f>
        <v/>
      </c>
    </row>
    <row customHeight="1" ht="28.5" r="3049">
      <c r="A3049" s="1" t="inlineStr">
        <is>
          <t>practice</t>
        </is>
      </c>
      <c r="B3049" s="1" t="inlineStr">
        <is>
          <t>incumbent</t>
        </is>
      </c>
      <c r="C3049" s="7">
        <f>"adj. 现任的；依靠的；负有职责的"&amp;CHAR(10)&amp;"n. 在职者；现任者；领圣俸者"</f>
        <v/>
      </c>
      <c r="G3049" s="18">
        <f>HYPERLINK("D:\python\英语学习\voices\"&amp;B3049&amp;"_1.mp3","BrE")</f>
        <v/>
      </c>
      <c r="H3049" s="18">
        <f>HYPERLINK("D:\python\英语学习\voices\"&amp;B3049&amp;"_2.mp3","AmE")</f>
        <v/>
      </c>
      <c r="I3049" s="18">
        <f>HYPERLINK("http://dict.youdao.com/w/"&amp;B3049,"有道")</f>
        <v/>
      </c>
    </row>
    <row r="3050">
      <c r="B3050" s="1" t="inlineStr">
        <is>
          <t>vengeance</t>
        </is>
      </c>
      <c r="C3050" s="7">
        <f>"n. 复仇；报复；报仇"</f>
        <v/>
      </c>
      <c r="E3050" s="6" t="inlineStr">
        <is>
          <t>with a vengeance彻底地完全地</t>
        </is>
      </c>
      <c r="G3050" s="18">
        <f>HYPERLINK("D:\python\英语学习\voices\"&amp;B3050&amp;"_1.mp3","BrE")</f>
        <v/>
      </c>
      <c r="H3050" s="18">
        <f>HYPERLINK("D:\python\英语学习\voices\"&amp;B3050&amp;"_2.mp3","AmE")</f>
        <v/>
      </c>
      <c r="I3050" s="18">
        <f>HYPERLINK("http://dict.youdao.com/w/"&amp;B3050,"有道")</f>
        <v/>
      </c>
    </row>
    <row r="3051">
      <c r="B3051" s="1" t="inlineStr">
        <is>
          <t>abhor</t>
        </is>
      </c>
      <c r="C3051" s="7">
        <f>"vt. 痛恨，憎恶"</f>
        <v/>
      </c>
      <c r="E3051" t="inlineStr">
        <is>
          <t>尤其是道德上的</t>
        </is>
      </c>
      <c r="G3051" s="18">
        <f>HYPERLINK("D:\python\英语学习\voices\"&amp;B3051&amp;"_1.mp3","BrE")</f>
        <v/>
      </c>
      <c r="H3051" s="18">
        <f>HYPERLINK("D:\python\英语学习\voices\"&amp;B3051&amp;"_2.mp3","AmE")</f>
        <v/>
      </c>
      <c r="I3051" s="18">
        <f>HYPERLINK("http://dict.youdao.com/w/"&amp;B3051,"有道")</f>
        <v/>
      </c>
    </row>
    <row customHeight="1" ht="42.75" r="3052">
      <c r="B3052" s="1" t="inlineStr">
        <is>
          <t>administer</t>
        </is>
      </c>
      <c r="C3052" s="7">
        <f>"vt. 管理；执行；给予"&amp;CHAR(10)&amp;"vi. 给予帮助；执行遗产管理人的职责；担当管理人"</f>
        <v/>
      </c>
      <c r="G3052" s="18">
        <f>HYPERLINK("D:\python\英语学习\voices\"&amp;B3052&amp;"_1.mp3","BrE")</f>
        <v/>
      </c>
      <c r="H3052" s="18">
        <f>HYPERLINK("D:\python\英语学习\voices\"&amp;B3052&amp;"_2.mp3","AmE")</f>
        <v/>
      </c>
      <c r="I3052" s="18">
        <f>HYPERLINK("http://dict.youdao.com/w/"&amp;B3052,"有道")</f>
        <v/>
      </c>
    </row>
    <row r="3053">
      <c r="A3053" s="1" t="inlineStr">
        <is>
          <t>practice</t>
        </is>
      </c>
      <c r="B3053" s="1" t="inlineStr">
        <is>
          <t>precarious</t>
        </is>
      </c>
      <c r="C3053" s="7">
        <f>"adj. 危险的；不确定的"</f>
        <v/>
      </c>
      <c r="G3053" s="18">
        <f>HYPERLINK("D:\python\英语学习\voices\"&amp;B3053&amp;"_1.mp3","BrE")</f>
        <v/>
      </c>
      <c r="H3053" s="18">
        <f>HYPERLINK("D:\python\英语学习\voices\"&amp;B3053&amp;"_2.mp3","AmE")</f>
        <v/>
      </c>
      <c r="I3053" s="18">
        <f>HYPERLINK("http://dict.youdao.com/w/"&amp;B3053,"有道")</f>
        <v/>
      </c>
    </row>
    <row customHeight="1" ht="28.5" r="3054">
      <c r="B3054" s="1" t="inlineStr">
        <is>
          <t>appease</t>
        </is>
      </c>
      <c r="C3054" s="7">
        <f>"v. 使平息；使满足；使和缓；对……让步；安抚，安慰；绥靖；缓解（难受的感觉）；姑息"</f>
        <v/>
      </c>
      <c r="G3054" s="18">
        <f>HYPERLINK("D:\python\英语学习\voices\"&amp;B3054&amp;"_1.mp3","BrE")</f>
        <v/>
      </c>
      <c r="H3054" s="18">
        <f>HYPERLINK("D:\python\英语学习\voices\"&amp;B3054&amp;"_2.mp3","AmE")</f>
        <v/>
      </c>
      <c r="I3054" s="18">
        <f>HYPERLINK("http://dict.youdao.com/w/"&amp;B3054,"有道")</f>
        <v/>
      </c>
    </row>
    <row customHeight="1" ht="42.75" r="3055">
      <c r="B3055" s="1" t="inlineStr">
        <is>
          <t>backfire</t>
        </is>
      </c>
      <c r="C3055" s="7">
        <f>"vi. 放出逆火；预先放火；产生出乎意料及事与愿违的结果"&amp;CHAR(10)&amp;"n. 逆火，回火"</f>
        <v/>
      </c>
      <c r="G3055" s="18">
        <f>HYPERLINK("D:\python\英语学习\voices\"&amp;B3055&amp;"_1.mp3","BrE")</f>
        <v/>
      </c>
      <c r="H3055" s="18">
        <f>HYPERLINK("D:\python\英语学习\voices\"&amp;B3055&amp;"_2.mp3","AmE")</f>
        <v/>
      </c>
      <c r="I3055" s="18">
        <f>HYPERLINK("http://dict.youdao.com/w/"&amp;B3055,"有道")</f>
        <v/>
      </c>
    </row>
    <row customHeight="1" ht="28.5" r="3056">
      <c r="A3056" s="1" t="inlineStr">
        <is>
          <t>practice</t>
        </is>
      </c>
      <c r="B3056" s="1" t="inlineStr">
        <is>
          <t>rampant</t>
        </is>
      </c>
      <c r="C3056" s="7">
        <f>"adj. 猖獗的；蔓延的；狂暴的；奔放的"&amp;CHAR(10)&amp;"n. (Rampant)人名；(法)朗庞"</f>
        <v/>
      </c>
      <c r="G3056" s="18">
        <f>HYPERLINK("D:\python\英语学习\voices\"&amp;B3056&amp;"_1.mp3","BrE")</f>
        <v/>
      </c>
      <c r="H3056" s="18">
        <f>HYPERLINK("D:\python\英语学习\voices\"&amp;B3056&amp;"_2.mp3","AmE")</f>
        <v/>
      </c>
      <c r="I3056" s="18">
        <f>HYPERLINK("http://dict.youdao.com/w/"&amp;B3056,"有道")</f>
        <v/>
      </c>
    </row>
    <row customHeight="1" ht="71.25" r="3057">
      <c r="A3057" s="1" t="inlineStr">
        <is>
          <t>practice</t>
        </is>
      </c>
      <c r="B3057" s="1" t="inlineStr">
        <is>
          <t>simplistic</t>
        </is>
      </c>
      <c r="C3057" s="7">
        <f>"adj. 过分简单化的；过分单纯化的"</f>
        <v/>
      </c>
      <c r="G3057" s="18">
        <f>HYPERLINK("D:\python\英语学习\voices\"&amp;B3057&amp;"_1.mp3","BrE")</f>
        <v/>
      </c>
      <c r="H3057" s="18">
        <f>HYPERLINK("D:\python\英语学习\voices\"&amp;B3057&amp;"_2.mp3","AmE")</f>
        <v/>
      </c>
      <c r="I3057" s="18">
        <f>HYPERLINK("http://dict.youdao.com/w/"&amp;B3057,"有道")</f>
        <v/>
      </c>
    </row>
    <row customHeight="1" ht="71.25" r="3058">
      <c r="B3058" s="1" t="inlineStr">
        <is>
          <t>bust</t>
        </is>
      </c>
      <c r="C3058" s="7">
        <f>"v. 打破；炸破；猛烈打击；突击搜捕"&amp;CHAR(10)&amp;"n. 胸围；半身像；经济萧条；逮捕； 没价值的事物"&amp;CHAR(10)&amp;"adj. 坏的；破产的"&amp;CHAR(10)&amp;"n. (Bust) （英、美、德）布斯特（人名）"</f>
        <v/>
      </c>
      <c r="G3058" s="18">
        <f>HYPERLINK("D:\python\英语学习\voices\"&amp;B3058&amp;"_1.mp3","BrE")</f>
        <v/>
      </c>
      <c r="H3058" s="18">
        <f>HYPERLINK("D:\python\英语学习\voices\"&amp;B3058&amp;"_2.mp3","AmE")</f>
        <v/>
      </c>
      <c r="I3058" s="18">
        <f>HYPERLINK("http://dict.youdao.com/w/"&amp;B3058,"有道")</f>
        <v/>
      </c>
    </row>
    <row customHeight="1" ht="28.5" r="3059">
      <c r="B3059" s="1" t="inlineStr">
        <is>
          <t>capitalize</t>
        </is>
      </c>
      <c r="C3059" s="7">
        <f>"vt. 使资本化；以大写字母写；估计…的价值"&amp;CHAR(10)&amp;"vi. 利用；积累资本"</f>
        <v/>
      </c>
      <c r="G3059" s="18">
        <f>HYPERLINK("D:\python\英语学习\voices\"&amp;B3059&amp;"_1.mp3","BrE")</f>
        <v/>
      </c>
      <c r="H3059" s="18">
        <f>HYPERLINK("D:\python\英语学习\voices\"&amp;B3059&amp;"_2.mp3","AmE")</f>
        <v/>
      </c>
      <c r="I3059" s="18">
        <f>HYPERLINK("http://dict.youdao.com/w/"&amp;B3059,"有道")</f>
        <v/>
      </c>
    </row>
    <row r="3060">
      <c r="B3060" s="1" t="inlineStr">
        <is>
          <t>wraith</t>
        </is>
      </c>
      <c r="C3060" s="7">
        <f>"n. 幽灵；鬼魂；幻影"</f>
        <v/>
      </c>
      <c r="G3060" s="18">
        <f>HYPERLINK("D:\python\英语学习\voices\"&amp;B3060&amp;"_1.mp3","BrE")</f>
        <v/>
      </c>
      <c r="H3060" s="18">
        <f>HYPERLINK("D:\python\英语学习\voices\"&amp;B3060&amp;"_2.mp3","AmE")</f>
        <v/>
      </c>
      <c r="I3060" s="18">
        <f>HYPERLINK("http://dict.youdao.com/w/"&amp;B3060,"有道")</f>
        <v/>
      </c>
    </row>
    <row customHeight="1" ht="28.5" r="3061">
      <c r="B3061" s="1" t="inlineStr">
        <is>
          <t>asway</t>
        </is>
      </c>
      <c r="C3061" s="7">
        <f>"adj. 摆动的，摇摆的"&amp;CHAR(10)&amp;"adv. 摆动地"</f>
        <v/>
      </c>
      <c r="G3061" s="18">
        <f>HYPERLINK("D:\python\英语学习\voices\"&amp;B3061&amp;"_1.mp3","BrE")</f>
        <v/>
      </c>
      <c r="H3061" s="18">
        <f>HYPERLINK("D:\python\英语学习\voices\"&amp;B3061&amp;"_2.mp3","AmE")</f>
        <v/>
      </c>
      <c r="I3061" s="18">
        <f>HYPERLINK("http://dict.youdao.com/w/"&amp;B3061,"有道")</f>
        <v/>
      </c>
    </row>
    <row r="3062">
      <c r="B3062" s="1" t="inlineStr">
        <is>
          <t>circumvent</t>
        </is>
      </c>
      <c r="C3062" s="7">
        <f>"v. 包围；智取；绕行，规避"</f>
        <v/>
      </c>
      <c r="G3062" s="18">
        <f>HYPERLINK("D:\python\英语学习\voices\"&amp;B3062&amp;"_1.mp3","BrE")</f>
        <v/>
      </c>
      <c r="H3062" s="18">
        <f>HYPERLINK("D:\python\英语学习\voices\"&amp;B3062&amp;"_2.mp3","AmE")</f>
        <v/>
      </c>
      <c r="I3062" s="18">
        <f>HYPERLINK("http://dict.youdao.com/w/"&amp;B3062,"有道")</f>
        <v/>
      </c>
    </row>
    <row customHeight="1" ht="28.5" r="3063">
      <c r="B3063" s="1" t="inlineStr">
        <is>
          <t>compliment</t>
        </is>
      </c>
      <c r="C3063" s="7">
        <f>"n. 恭维；称赞；问候；致意；道贺"&amp;CHAR(10)&amp;"vt. 恭维；称赞"</f>
        <v/>
      </c>
      <c r="G3063" s="18">
        <f>HYPERLINK("D:\python\英语学习\voices\"&amp;B3063&amp;"_1.mp3","BrE")</f>
        <v/>
      </c>
      <c r="H3063" s="18">
        <f>HYPERLINK("D:\python\英语学习\voices\"&amp;B3063&amp;"_2.mp3","AmE")</f>
        <v/>
      </c>
      <c r="I3063" s="18">
        <f>HYPERLINK("http://dict.youdao.com/w/"&amp;B3063,"有道")</f>
        <v/>
      </c>
    </row>
    <row customHeight="1" ht="28.5" r="3064">
      <c r="B3064" s="1" t="inlineStr">
        <is>
          <t>confiscate</t>
        </is>
      </c>
      <c r="C3064" s="7">
        <f>"vt. 没收；充公；查抄"&amp;CHAR(10)&amp;"adj. 被没收的"</f>
        <v/>
      </c>
      <c r="G3064" s="18">
        <f>HYPERLINK("D:\python\英语学习\voices\"&amp;B3064&amp;"_1.mp3","BrE")</f>
        <v/>
      </c>
      <c r="H3064" s="18">
        <f>HYPERLINK("D:\python\英语学习\voices\"&amp;B3064&amp;"_2.mp3","AmE")</f>
        <v/>
      </c>
      <c r="I3064" s="18">
        <f>HYPERLINK("http://dict.youdao.com/w/"&amp;B3064,"有道")</f>
        <v/>
      </c>
    </row>
    <row customHeight="1" ht="57" r="3065">
      <c r="B3065" s="1" t="inlineStr">
        <is>
          <t>contract</t>
        </is>
      </c>
      <c r="C3065" s="7">
        <f>"n. 合同，契约；婚约；（非正式）暗杀协议；（桥牌）定约"&amp;CHAR(10)&amp;"v. 收缩，缩短；感染；订约；订（婚）；负（债）；结交"</f>
        <v/>
      </c>
      <c r="E3065" s="16" t="inlineStr">
        <is>
          <t>还有v.收缩的意思</t>
        </is>
      </c>
      <c r="G3065" s="18">
        <f>HYPERLINK("D:\python\英语学习\voices\"&amp;B3065&amp;"_1.mp3","BrE")</f>
        <v/>
      </c>
      <c r="H3065" s="18">
        <f>HYPERLINK("D:\python\英语学习\voices\"&amp;B3065&amp;"_2.mp3","AmE")</f>
        <v/>
      </c>
      <c r="I3065" s="18">
        <f>HYPERLINK("http://dict.youdao.com/w/"&amp;B3065,"有道")</f>
        <v/>
      </c>
    </row>
    <row customHeight="1" ht="28.5" r="3066">
      <c r="A3066" s="1" t="inlineStr">
        <is>
          <t>practice</t>
        </is>
      </c>
      <c r="B3066" s="1" t="inlineStr">
        <is>
          <t>sublime</t>
        </is>
      </c>
      <c r="C3066" s="7">
        <f>"adj. 庄严的；令人崇敬的；极端的；超群的"&amp;CHAR(10)&amp;"n. 崇高；顶点"&amp;CHAR(10)&amp;"vt. 使…纯化；使…升华；使…变高尚"&amp;CHAR(10)&amp;"vi. 升华；纯化；变高尚"</f>
        <v/>
      </c>
      <c r="G3066" s="18">
        <f>HYPERLINK("D:\python\英语学习\voices\"&amp;B3066&amp;"_1.mp3","BrE")</f>
        <v/>
      </c>
      <c r="H3066" s="18">
        <f>HYPERLINK("D:\python\英语学习\voices\"&amp;B3066&amp;"_2.mp3","AmE")</f>
        <v/>
      </c>
      <c r="I3066" s="18">
        <f>HYPERLINK("http://dict.youdao.com/w/"&amp;B3066,"有道")</f>
        <v/>
      </c>
    </row>
    <row customHeight="1" ht="42.75" r="3067">
      <c r="B3067" s="1" t="inlineStr">
        <is>
          <t>cultivated</t>
        </is>
      </c>
      <c r="C3067" s="7">
        <f>"adj. 用于耕种的；有教养的；栽培的，培植的"&amp;CHAR(10)&amp;"v. 发展；耕作；教化（cultivate 的过去式和过去分词）"</f>
        <v/>
      </c>
      <c r="G3067" s="18">
        <f>HYPERLINK("D:\python\英语学习\voices\"&amp;B3067&amp;"_1.mp3","BrE")</f>
        <v/>
      </c>
      <c r="H3067" s="18">
        <f>HYPERLINK("D:\python\英语学习\voices\"&amp;B3067&amp;"_2.mp3","AmE")</f>
        <v/>
      </c>
      <c r="I3067" s="18">
        <f>HYPERLINK("http://dict.youdao.com/w/"&amp;B3067,"有道")</f>
        <v/>
      </c>
    </row>
    <row r="3068">
      <c r="A3068" s="1" t="inlineStr">
        <is>
          <t>practice</t>
        </is>
      </c>
      <c r="B3068" s="1" t="inlineStr">
        <is>
          <t>sporadic</t>
        </is>
      </c>
      <c r="C3068" s="7">
        <f>"adj. 零星的；分散的；不定时发生的"</f>
        <v/>
      </c>
      <c r="G3068" s="18">
        <f>HYPERLINK("D:\python\英语学习\voices\"&amp;B3068&amp;"_1.mp3","BrE")</f>
        <v/>
      </c>
      <c r="H3068" s="18">
        <f>HYPERLINK("D:\python\英语学习\voices\"&amp;B3068&amp;"_2.mp3","AmE")</f>
        <v/>
      </c>
      <c r="I3068" s="18">
        <f>HYPERLINK("http://dict.youdao.com/w/"&amp;B3068,"有道")</f>
        <v/>
      </c>
    </row>
    <row customHeight="1" ht="57" r="3069">
      <c r="B3069" s="1" t="inlineStr">
        <is>
          <t>drain</t>
        </is>
      </c>
      <c r="C3069" s="7">
        <f>"v. 排水；流干；喝光；（感情）变淡；使精疲力竭；（非正式）将（球）轻击入穴"&amp;CHAR(10)&amp;"n. 排水沟；下水道；负担；消耗"&amp;CHAR(10)&amp;"n. (Drain) （美、英、法、加）德兰（人名）"</f>
        <v/>
      </c>
      <c r="G3069" s="18">
        <f>HYPERLINK("D:\python\英语学习\voices\"&amp;B3069&amp;"_1.mp3","BrE")</f>
        <v/>
      </c>
      <c r="H3069" s="18">
        <f>HYPERLINK("D:\python\英语学习\voices\"&amp;B3069&amp;"_2.mp3","AmE")</f>
        <v/>
      </c>
      <c r="I3069" s="18">
        <f>HYPERLINK("http://dict.youdao.com/w/"&amp;B3069,"有道")</f>
        <v/>
      </c>
    </row>
    <row customHeight="1" ht="42.75" r="3070">
      <c r="B3070" s="1" t="inlineStr">
        <is>
          <t>derive</t>
        </is>
      </c>
      <c r="C3070" s="7">
        <f>"vt. 源于；得自；获得"&amp;CHAR(10)&amp;"vi. 起源"&amp;CHAR(10)&amp;"n. (Derive)人名；(法)德里夫"</f>
        <v/>
      </c>
      <c r="G3070" s="18">
        <f>HYPERLINK("D:\python\英语学习\voices\"&amp;B3070&amp;"_1.mp3","BrE")</f>
        <v/>
      </c>
      <c r="H3070" s="18">
        <f>HYPERLINK("D:\python\英语学习\voices\"&amp;B3070&amp;"_2.mp3","AmE")</f>
        <v/>
      </c>
      <c r="I3070" s="18">
        <f>HYPERLINK("http://dict.youdao.com/w/"&amp;B3070,"有道")</f>
        <v/>
      </c>
    </row>
    <row customHeight="1" ht="57" r="3071">
      <c r="A3071" s="1" t="inlineStr">
        <is>
          <t>practice</t>
        </is>
      </c>
      <c r="B3071" s="1" t="inlineStr">
        <is>
          <t>stringent</t>
        </is>
      </c>
      <c r="C3071" s="7">
        <f>"adj. 严格的；严厉的；紧缩的；短缺的"</f>
        <v/>
      </c>
      <c r="G3071" s="18">
        <f>HYPERLINK("D:\python\英语学习\voices\"&amp;B3071&amp;"_1.mp3","BrE")</f>
        <v/>
      </c>
      <c r="H3071" s="18">
        <f>HYPERLINK("D:\python\英语学习\voices\"&amp;B3071&amp;"_2.mp3","AmE")</f>
        <v/>
      </c>
      <c r="I3071" s="18">
        <f>HYPERLINK("http://dict.youdao.com/w/"&amp;B3071,"有道")</f>
        <v/>
      </c>
    </row>
    <row r="3072">
      <c r="A3072" t="inlineStr">
        <is>
          <t>practice</t>
        </is>
      </c>
      <c r="B3072" s="1" t="inlineStr">
        <is>
          <t>envision</t>
        </is>
      </c>
      <c r="C3072" s="7">
        <f>"vt. 想象；预想"</f>
        <v/>
      </c>
      <c r="G3072" s="18">
        <f>HYPERLINK("D:\python\英语学习\voices\"&amp;B3072&amp;"_1.mp3","BrE")</f>
        <v/>
      </c>
      <c r="H3072" s="18">
        <f>HYPERLINK("D:\python\英语学习\voices\"&amp;B3072&amp;"_2.mp3","AmE")</f>
        <v/>
      </c>
      <c r="I3072" s="18">
        <f>HYPERLINK("http://dict.youdao.com/w/"&amp;B3072,"有道")</f>
        <v/>
      </c>
    </row>
    <row r="3073">
      <c r="B3073" s="1" t="inlineStr">
        <is>
          <t>evoke</t>
        </is>
      </c>
      <c r="C3073" s="7">
        <f>"vt. 引起，唤起；博得"</f>
        <v/>
      </c>
      <c r="G3073" s="18">
        <f>HYPERLINK("D:\python\英语学习\voices\"&amp;B3073&amp;"_1.mp3","BrE")</f>
        <v/>
      </c>
      <c r="H3073" s="18">
        <f>HYPERLINK("D:\python\英语学习\voices\"&amp;B3073&amp;"_2.mp3","AmE")</f>
        <v/>
      </c>
      <c r="I3073" s="18">
        <f>HYPERLINK("http://dict.youdao.com/w/"&amp;B3073,"有道")</f>
        <v/>
      </c>
    </row>
    <row customHeight="1" ht="28.5" r="3074">
      <c r="B3074" s="1" t="inlineStr">
        <is>
          <t>foreshadow</t>
        </is>
      </c>
      <c r="C3074" s="7">
        <f>"vt. 预示；成为…的前兆"&amp;CHAR(10)&amp;"n. 预兆"</f>
        <v/>
      </c>
      <c r="G3074" s="18">
        <f>HYPERLINK("D:\python\英语学习\voices\"&amp;B3074&amp;"_1.mp3","BrE")</f>
        <v/>
      </c>
      <c r="H3074" s="18">
        <f>HYPERLINK("D:\python\英语学习\voices\"&amp;B3074&amp;"_2.mp3","AmE")</f>
        <v/>
      </c>
      <c r="I3074" s="18">
        <f>HYPERLINK("http://dict.youdao.com/w/"&amp;B3074,"有道")</f>
        <v/>
      </c>
    </row>
    <row customHeight="1" ht="28.5" r="3075">
      <c r="B3075" s="1" t="inlineStr">
        <is>
          <t>forgo</t>
        </is>
      </c>
      <c r="C3075" s="7">
        <f>"vi. 放弃；停止；对…断念"&amp;CHAR(10)&amp;"vt. 放弃；停止；对…断念"</f>
        <v/>
      </c>
      <c r="E3075" s="10" t="inlineStr">
        <is>
          <t>=forego</t>
        </is>
      </c>
      <c r="G3075" s="18">
        <f>HYPERLINK("D:\python\英语学习\voices\"&amp;B3075&amp;"_1.mp3","BrE")</f>
        <v/>
      </c>
      <c r="H3075" s="18">
        <f>HYPERLINK("D:\python\英语学习\voices\"&amp;B3075&amp;"_2.mp3","AmE")</f>
        <v/>
      </c>
      <c r="I3075" s="18">
        <f>HYPERLINK("http://dict.youdao.com/w/"&amp;B3075,"有道")</f>
        <v/>
      </c>
    </row>
    <row customHeight="1" ht="57" r="3076">
      <c r="B3076" s="1" t="inlineStr">
        <is>
          <t>harbor</t>
        </is>
      </c>
      <c r="C3076" s="7">
        <f>"n. 港，海港；避难所"&amp;CHAR(10)&amp;"v. 庇护；窝藏；怀有；为……提供庇护；入港停泊；居住，生存"&amp;CHAR(10)&amp;"n. (Harbor) （美）哈伯（人名）"</f>
        <v/>
      </c>
      <c r="G3076" s="18">
        <f>HYPERLINK("D:\python\英语学习\voices\"&amp;B3076&amp;"_1.mp3","BrE")</f>
        <v/>
      </c>
      <c r="H3076" s="18">
        <f>HYPERLINK("D:\python\英语学习\voices\"&amp;B3076&amp;"_2.mp3","AmE")</f>
        <v/>
      </c>
      <c r="I3076" s="18">
        <f>HYPERLINK("http://dict.youdao.com/w/"&amp;B3076,"有道")</f>
        <v/>
      </c>
    </row>
    <row customHeight="1" ht="42.75" r="3077">
      <c r="B3077" s="1" t="inlineStr">
        <is>
          <t>hobble</t>
        </is>
      </c>
      <c r="C3077" s="7">
        <f>"vi. 蹒跚；跛行"&amp;CHAR(10)&amp;"vt. 使跛行"&amp;CHAR(10)&amp;"n. 跛行步态"</f>
        <v/>
      </c>
      <c r="G3077" s="18">
        <f>HYPERLINK("D:\python\英语学习\voices\"&amp;B3077&amp;"_1.mp3","BrE")</f>
        <v/>
      </c>
      <c r="H3077" s="18">
        <f>HYPERLINK("D:\python\英语学习\voices\"&amp;B3077&amp;"_2.mp3","AmE")</f>
        <v/>
      </c>
      <c r="I3077" s="18">
        <f>HYPERLINK("http://dict.youdao.com/w/"&amp;B3077,"有道")</f>
        <v/>
      </c>
    </row>
    <row customHeight="1" ht="29.1" r="3078">
      <c r="B3078" s="1" t="inlineStr">
        <is>
          <t>harass</t>
        </is>
      </c>
      <c r="C3078" s="7">
        <f>"v. 骚扰，（使）困扰（或烦恼）；反复袭击"</f>
        <v/>
      </c>
      <c r="G3078" s="18">
        <f>HYPERLINK("D:\python\英语学习\voices\"&amp;B3078&amp;"_1.mp3","BrE")</f>
        <v/>
      </c>
      <c r="H3078" s="18">
        <f>HYPERLINK("D:\python\英语学习\voices\"&amp;B3078&amp;"_2.mp3","AmE")</f>
        <v/>
      </c>
      <c r="I3078" s="18">
        <f>HYPERLINK("http://dict.youdao.com/w/"&amp;B3078,"有道")</f>
        <v/>
      </c>
    </row>
    <row r="3079">
      <c r="B3079" s="1" t="inlineStr">
        <is>
          <t>harassment</t>
        </is>
      </c>
      <c r="C3079" s="7">
        <f>"n. 骚扰；烦恼"</f>
        <v/>
      </c>
      <c r="G3079" s="18">
        <f>HYPERLINK("D:\python\英语学习\voices\"&amp;B3079&amp;"_1.mp3","BrE")</f>
        <v/>
      </c>
      <c r="H3079" s="18">
        <f>HYPERLINK("D:\python\英语学习\voices\"&amp;B3079&amp;"_2.mp3","AmE")</f>
        <v/>
      </c>
      <c r="I3079" s="18">
        <f>HYPERLINK("http://dict.youdao.com/w/"&amp;B3079,"有道")</f>
        <v/>
      </c>
    </row>
    <row customHeight="1" ht="28.5" r="3080">
      <c r="A3080" s="1" t="inlineStr">
        <is>
          <t>practice</t>
        </is>
      </c>
      <c r="B3080" s="1" t="inlineStr">
        <is>
          <t>tantalizing</t>
        </is>
      </c>
      <c r="C3080" s="7">
        <f>"adj. 撩人的；逗引性的；干着急的"&amp;CHAR(10)&amp;"v. 惹弄；逗弄人（tantalize的ing形式）"</f>
        <v/>
      </c>
      <c r="G3080" s="18">
        <f>HYPERLINK("D:\python\英语学习\voices\"&amp;B3080&amp;"_1.mp3","BrE")</f>
        <v/>
      </c>
      <c r="H3080" s="18">
        <f>HYPERLINK("D:\python\英语学习\voices\"&amp;B3080&amp;"_2.mp3","AmE")</f>
        <v/>
      </c>
      <c r="I3080" s="18">
        <f>HYPERLINK("http://dict.youdao.com/w/"&amp;B3080,"有道")</f>
        <v/>
      </c>
    </row>
    <row customHeight="1" ht="28.5" r="3081">
      <c r="B3081" s="1" t="inlineStr">
        <is>
          <t>engross</t>
        </is>
      </c>
      <c r="C3081" s="7">
        <f>"vt. 使全神贯注；用大字体书写；正式写成（决议等）；独占；吸引"</f>
        <v/>
      </c>
      <c r="G3081" s="18">
        <f>HYPERLINK("D:\python\英语学习\voices\"&amp;B3081&amp;"_1.mp3","BrE")</f>
        <v/>
      </c>
      <c r="H3081" s="18">
        <f>HYPERLINK("D:\python\英语学习\voices\"&amp;B3081&amp;"_2.mp3","AmE")</f>
        <v/>
      </c>
      <c r="I3081" s="18">
        <f>HYPERLINK("http://dict.youdao.com/w/"&amp;B3081,"有道")</f>
        <v/>
      </c>
    </row>
    <row customHeight="1" ht="28.5" r="3082">
      <c r="B3082" s="1" t="inlineStr">
        <is>
          <t>inflict</t>
        </is>
      </c>
      <c r="C3082" s="7">
        <f>"vt. 造成；使遭受（损伤、痛苦等）；给予（打击等）"</f>
        <v/>
      </c>
      <c r="G3082" s="18">
        <f>HYPERLINK("D:\python\英语学习\voices\"&amp;B3082&amp;"_1.mp3","BrE")</f>
        <v/>
      </c>
      <c r="H3082" s="18">
        <f>HYPERLINK("D:\python\英语学习\voices\"&amp;B3082&amp;"_2.mp3","AmE")</f>
        <v/>
      </c>
      <c r="I3082" s="18">
        <f>HYPERLINK("http://dict.youdao.com/w/"&amp;B3082,"有道")</f>
        <v/>
      </c>
    </row>
    <row r="3083">
      <c r="B3083" s="1" t="inlineStr">
        <is>
          <t>instill</t>
        </is>
      </c>
      <c r="C3083" s="7">
        <f>"vt. 徐徐滴入；逐渐灌输"</f>
        <v/>
      </c>
      <c r="G3083" s="18">
        <f>HYPERLINK("D:\python\英语学习\voices\"&amp;B3083&amp;"_1.mp3","BrE")</f>
        <v/>
      </c>
      <c r="H3083" s="18">
        <f>HYPERLINK("D:\python\英语学习\voices\"&amp;B3083&amp;"_2.mp3","AmE")</f>
        <v/>
      </c>
      <c r="I3083" s="18">
        <f>HYPERLINK("http://dict.youdao.com/w/"&amp;B3083,"有道")</f>
        <v/>
      </c>
    </row>
    <row customHeight="1" ht="28.5" r="3084">
      <c r="A3084" s="1" t="inlineStr">
        <is>
          <t>practice</t>
        </is>
      </c>
      <c r="B3084" s="1" t="inlineStr">
        <is>
          <t>tentative</t>
        </is>
      </c>
      <c r="C3084" s="7">
        <f>"adj. 试验性的，暂定的；踌躇的"&amp;CHAR(10)&amp;"n. 假设，试验"</f>
        <v/>
      </c>
      <c r="G3084" s="18">
        <f>HYPERLINK("D:\python\英语学习\voices\"&amp;B3084&amp;"_1.mp3","BrE")</f>
        <v/>
      </c>
      <c r="H3084" s="18">
        <f>HYPERLINK("D:\python\英语学习\voices\"&amp;B3084&amp;"_2.mp3","AmE")</f>
        <v/>
      </c>
      <c r="I3084" s="18">
        <f>HYPERLINK("http://dict.youdao.com/w/"&amp;B3084,"有道")</f>
        <v/>
      </c>
    </row>
    <row customHeight="1" ht="42.75" r="3085">
      <c r="B3085" s="1" t="inlineStr">
        <is>
          <t>outfit</t>
        </is>
      </c>
      <c r="C3085" s="7">
        <f>"n. 机构；用具；全套装备"&amp;CHAR(10)&amp;"vi. 得到装备"&amp;CHAR(10)&amp;"vt. 配备；供应"</f>
        <v/>
      </c>
      <c r="G3085" s="18">
        <f>HYPERLINK("D:\python\英语学习\voices\"&amp;B3085&amp;"_1.mp3","BrE")</f>
        <v/>
      </c>
      <c r="H3085" s="18">
        <f>HYPERLINK("D:\python\英语学习\voices\"&amp;B3085&amp;"_2.mp3","AmE")</f>
        <v/>
      </c>
      <c r="I3085" s="18">
        <f>HYPERLINK("http://dict.youdao.com/w/"&amp;B3085,"有道")</f>
        <v/>
      </c>
    </row>
    <row customHeight="1" ht="28.5" r="3086">
      <c r="B3086" s="1" t="inlineStr">
        <is>
          <t>quell</t>
        </is>
      </c>
      <c r="C3086" s="7">
        <f>"vt. 平息；镇压；减轻；消除"&amp;CHAR(10)&amp;"n. (Quell)人名；(捷)奎尔；(西)克利"</f>
        <v/>
      </c>
      <c r="G3086" s="18">
        <f>HYPERLINK("D:\python\英语学习\voices\"&amp;B3086&amp;"_1.mp3","BrE")</f>
        <v/>
      </c>
      <c r="H3086" s="18">
        <f>HYPERLINK("D:\python\英语学习\voices\"&amp;B3086&amp;"_2.mp3","AmE")</f>
        <v/>
      </c>
      <c r="I3086" s="18">
        <f>HYPERLINK("http://dict.youdao.com/w/"&amp;B3086,"有道")</f>
        <v/>
      </c>
    </row>
    <row customHeight="1" ht="42.75" r="3087">
      <c r="B3087" s="1" t="inlineStr">
        <is>
          <t>prowl</t>
        </is>
      </c>
      <c r="C3087" s="7">
        <f>"v. 潜行；徘徊；搜寻"&amp;CHAR(10)&amp;"n. 徘徊，潜行；悄悄踱步；（动物）出动捕猎；四处搜寻（干某事的机会）"</f>
        <v/>
      </c>
      <c r="G3087" s="18">
        <f>HYPERLINK("D:\python\英语学习\voices\"&amp;B3087&amp;"_1.mp3","BrE")</f>
        <v/>
      </c>
      <c r="H3087" s="18">
        <f>HYPERLINK("D:\python\英语学习\voices\"&amp;B3087&amp;"_2.mp3","AmE")</f>
        <v/>
      </c>
      <c r="I3087" s="18">
        <f>HYPERLINK("http://dict.youdao.com/w/"&amp;B3087,"有道")</f>
        <v/>
      </c>
    </row>
    <row customHeight="1" ht="42.75" r="3088">
      <c r="B3088" s="1" t="inlineStr">
        <is>
          <t>prod</t>
        </is>
      </c>
      <c r="C3088" s="7">
        <f>"v. 刺，戳；刺激，督促"&amp;CHAR(10)&amp;"n. 戳，捅；刺戳的工具；刺激，提醒；（贬称）新教徒"</f>
        <v/>
      </c>
      <c r="G3088" s="18">
        <f>HYPERLINK("D:\python\英语学习\voices\"&amp;B3088&amp;"_1.mp3","BrE")</f>
        <v/>
      </c>
      <c r="H3088" s="18">
        <f>HYPERLINK("D:\python\英语学习\voices\"&amp;B3088&amp;"_2.mp3","AmE")</f>
        <v/>
      </c>
      <c r="I3088" s="18">
        <f>HYPERLINK("http://dict.youdao.com/w/"&amp;B3088,"有道")</f>
        <v/>
      </c>
    </row>
    <row r="3089">
      <c r="B3089" s="1" t="inlineStr">
        <is>
          <t>provoke</t>
        </is>
      </c>
      <c r="C3089" s="7">
        <f>"vt. 驱使；激怒；煽动；惹起"</f>
        <v/>
      </c>
      <c r="G3089" s="18">
        <f>HYPERLINK("D:\python\英语学习\voices\"&amp;B3089&amp;"_1.mp3","BrE")</f>
        <v/>
      </c>
      <c r="H3089" s="18">
        <f>HYPERLINK("D:\python\英语学习\voices\"&amp;B3089&amp;"_2.mp3","AmE")</f>
        <v/>
      </c>
      <c r="I3089" s="18">
        <f>HYPERLINK("http://dict.youdao.com/w/"&amp;B3089,"有道")</f>
        <v/>
      </c>
    </row>
    <row customHeight="1" ht="99.75" r="3090">
      <c r="B3090" s="1" t="inlineStr">
        <is>
          <t>rebound</t>
        </is>
      </c>
      <c r="C3090" s="7">
        <f>"v. （球或其他运动物体）弹回，反弹；（价格、价值等下跌后）回升，反弹；抢（篮板球）；（事件，局势）产生事与愿违的结果"&amp;CHAR(10)&amp;"n. （因挫折，危机，失恋）处于情绪波动的状态；（价格等）回升，反弹；（球）在回弹中；（尤指停药后病情的）复发"&amp;CHAR(10)&amp;"v. 重新装订（rebind 的过去式和过去分词）"</f>
        <v/>
      </c>
      <c r="G3090" s="18">
        <f>HYPERLINK("D:\python\英语学习\voices\"&amp;B3090&amp;"_1.mp3","BrE")</f>
        <v/>
      </c>
      <c r="H3090" s="18">
        <f>HYPERLINK("D:\python\英语学习\voices\"&amp;B3090&amp;"_2.mp3","AmE")</f>
        <v/>
      </c>
      <c r="I3090" s="18">
        <f>HYPERLINK("http://dict.youdao.com/w/"&amp;B3090,"有道")</f>
        <v/>
      </c>
    </row>
    <row customHeight="1" ht="57" r="3091">
      <c r="A3091" s="1" t="inlineStr">
        <is>
          <t>practice</t>
        </is>
      </c>
      <c r="B3091" s="1" t="inlineStr">
        <is>
          <t>untapped</t>
        </is>
      </c>
      <c r="C3091" s="7">
        <f>"adj. 未开发的；未使用的；塞子未开的"</f>
        <v/>
      </c>
      <c r="G3091" s="18">
        <f>HYPERLINK("D:\python\英语学习\voices\"&amp;B3091&amp;"_1.mp3","BrE")</f>
        <v/>
      </c>
      <c r="H3091" s="18">
        <f>HYPERLINK("D:\python\英语学习\voices\"&amp;B3091&amp;"_2.mp3","AmE")</f>
        <v/>
      </c>
      <c r="I3091" s="18">
        <f>HYPERLINK("http://dict.youdao.com/w/"&amp;B3091,"有道")</f>
        <v/>
      </c>
    </row>
    <row customHeight="1" ht="28.5" r="3092">
      <c r="B3092" s="1" t="inlineStr">
        <is>
          <t>relate</t>
        </is>
      </c>
      <c r="C3092" s="7">
        <f>"vt. 叙述；使…有联系"&amp;CHAR(10)&amp;"vi. 涉及；认同；符合；与…有某种联系"</f>
        <v/>
      </c>
      <c r="G3092" s="18">
        <f>HYPERLINK("D:\python\英语学习\voices\"&amp;B3092&amp;"_1.mp3","BrE")</f>
        <v/>
      </c>
      <c r="H3092" s="18">
        <f>HYPERLINK("D:\python\英语学习\voices\"&amp;B3092&amp;"_2.mp3","AmE")</f>
        <v/>
      </c>
      <c r="I3092" s="18">
        <f>HYPERLINK("http://dict.youdao.com/w/"&amp;B3092,"有道")</f>
        <v/>
      </c>
    </row>
    <row customHeight="1" ht="28.5" r="3093">
      <c r="A3093" s="1" t="inlineStr">
        <is>
          <t>practice</t>
        </is>
      </c>
      <c r="B3093" s="1" t="inlineStr">
        <is>
          <t>vaunted</t>
        </is>
      </c>
      <c r="C3093" s="7">
        <f>"adj. 自夸的；大肆吹嘘的"&amp;CHAR(10)&amp;"v. 夸耀；吹牛（vaunt的过去分词）"</f>
        <v/>
      </c>
      <c r="G3093" s="18">
        <f>HYPERLINK("D:\python\英语学习\voices\"&amp;B3093&amp;"_1.mp3","BrE")</f>
        <v/>
      </c>
      <c r="H3093" s="18">
        <f>HYPERLINK("D:\python\英语学习\voices\"&amp;B3093&amp;"_2.mp3","AmE")</f>
        <v/>
      </c>
      <c r="I3093" s="18">
        <f>HYPERLINK("http://dict.youdao.com/w/"&amp;B3093,"有道")</f>
        <v/>
      </c>
    </row>
    <row customHeight="1" ht="42.75" r="3094">
      <c r="B3094" s="1" t="inlineStr">
        <is>
          <t>renounce</t>
        </is>
      </c>
      <c r="C3094" s="7">
        <f>"vt. 宣布放弃；与…断绝关系；垫牌"&amp;CHAR(10)&amp;"vi. 放弃权利；垫牌"&amp;CHAR(10)&amp;"n. 垫牌"</f>
        <v/>
      </c>
      <c r="G3094" s="18">
        <f>HYPERLINK("D:\python\英语学习\voices\"&amp;B3094&amp;"_1.mp3","BrE")</f>
        <v/>
      </c>
      <c r="H3094" s="18">
        <f>HYPERLINK("D:\python\英语学习\voices\"&amp;B3094&amp;"_2.mp3","AmE")</f>
        <v/>
      </c>
      <c r="I3094" s="18">
        <f>HYPERLINK("http://dict.youdao.com/w/"&amp;B3094,"有道")</f>
        <v/>
      </c>
    </row>
    <row r="3095">
      <c r="B3095" s="1" t="inlineStr">
        <is>
          <t>seduce</t>
        </is>
      </c>
      <c r="C3095" s="7">
        <f>"vt. 引诱；诱惑；诱奸；怂恿"</f>
        <v/>
      </c>
      <c r="G3095" s="18">
        <f>HYPERLINK("D:\python\英语学习\voices\"&amp;B3095&amp;"_1.mp3","BrE")</f>
        <v/>
      </c>
      <c r="H3095" s="18">
        <f>HYPERLINK("D:\python\英语学习\voices\"&amp;B3095&amp;"_2.mp3","AmE")</f>
        <v/>
      </c>
      <c r="I3095" s="18">
        <f>HYPERLINK("http://dict.youdao.com/w/"&amp;B3095,"有道")</f>
        <v/>
      </c>
    </row>
    <row customHeight="1" ht="28.5" r="3096">
      <c r="A3096" s="1" t="inlineStr">
        <is>
          <t>practice</t>
        </is>
      </c>
      <c r="B3096" s="1" t="inlineStr">
        <is>
          <t>alleviate</t>
        </is>
      </c>
      <c r="C3096" s="7">
        <f>"vt. 减轻，缓和"</f>
        <v/>
      </c>
      <c r="G3096" s="18">
        <f>HYPERLINK("D:\python\英语学习\voices\"&amp;B3096&amp;"_1.mp3","BrE")</f>
        <v/>
      </c>
      <c r="H3096" s="18">
        <f>HYPERLINK("D:\python\英语学习\voices\"&amp;B3096&amp;"_2.mp3","AmE")</f>
        <v/>
      </c>
      <c r="I3096" s="18">
        <f>HYPERLINK("http://dict.youdao.com/w/"&amp;B3096,"有道")</f>
        <v/>
      </c>
    </row>
    <row customHeight="1" ht="71.25" r="3097">
      <c r="B3097" s="1" t="inlineStr">
        <is>
          <t>strand</t>
        </is>
      </c>
      <c r="C3097" s="7">
        <f>"n. 线；串；海滨"&amp;CHAR(10)&amp;"vt. 使搁浅；使陷于困境；弄断；使落后"&amp;CHAR(10)&amp;"vi. 搁浅"&amp;CHAR(10)&amp;"n. (Strand)人名；(英、芬、丹、挪、瑞典)斯特兰德；(德)施特兰德"</f>
        <v/>
      </c>
      <c r="G3097" s="18">
        <f>HYPERLINK("D:\python\英语学习\voices\"&amp;B3097&amp;"_1.mp3","BrE")</f>
        <v/>
      </c>
      <c r="H3097" s="18">
        <f>HYPERLINK("D:\python\英语学习\voices\"&amp;B3097&amp;"_2.mp3","AmE")</f>
        <v/>
      </c>
      <c r="I3097" s="18">
        <f>HYPERLINK("http://dict.youdao.com/w/"&amp;B3097,"有道")</f>
        <v/>
      </c>
    </row>
    <row customHeight="1" ht="42.75" r="3098">
      <c r="B3098" s="1" t="inlineStr">
        <is>
          <t>stumble</t>
        </is>
      </c>
      <c r="C3098" s="7">
        <f>"vi. 踌躇，蹒跚；失足；犯错"&amp;CHAR(10)&amp;"vt. 使…困惑；使…绊倒"&amp;CHAR(10)&amp;"n. 绊倒；蹒跚而行"</f>
        <v/>
      </c>
      <c r="G3098" s="18">
        <f>HYPERLINK("D:\python\英语学习\voices\"&amp;B3098&amp;"_1.mp3","BrE")</f>
        <v/>
      </c>
      <c r="H3098" s="18">
        <f>HYPERLINK("D:\python\英语学习\voices\"&amp;B3098&amp;"_2.mp3","AmE")</f>
        <v/>
      </c>
      <c r="I3098" s="18">
        <f>HYPERLINK("http://dict.youdao.com/w/"&amp;B3098,"有道")</f>
        <v/>
      </c>
    </row>
    <row r="3099">
      <c r="B3099" s="1" t="inlineStr">
        <is>
          <t>subsidize</t>
        </is>
      </c>
      <c r="C3099" s="7">
        <f>"vt. 资助；给予奖助金；向…行贿"</f>
        <v/>
      </c>
      <c r="G3099" s="18">
        <f>HYPERLINK("D:\python\英语学习\voices\"&amp;B3099&amp;"_1.mp3","BrE")</f>
        <v/>
      </c>
      <c r="H3099" s="18">
        <f>HYPERLINK("D:\python\英语学习\voices\"&amp;B3099&amp;"_2.mp3","AmE")</f>
        <v/>
      </c>
      <c r="I3099" s="18">
        <f>HYPERLINK("http://dict.youdao.com/w/"&amp;B3099,"有道")</f>
        <v/>
      </c>
    </row>
    <row customHeight="1" ht="28.5" r="3100">
      <c r="B3100" s="1" t="inlineStr">
        <is>
          <t>tamper</t>
        </is>
      </c>
      <c r="C3100" s="7">
        <f>"v. 做手脚，破坏"&amp;CHAR(10)&amp;"n. 夯工，拍压的人；打夯机"</f>
        <v/>
      </c>
      <c r="E3100" s="6" t="inlineStr">
        <is>
          <t>油猴</t>
        </is>
      </c>
      <c r="G3100" s="18">
        <f>HYPERLINK("D:\python\英语学习\voices\"&amp;B3100&amp;"_1.mp3","BrE")</f>
        <v/>
      </c>
      <c r="H3100" s="18">
        <f>HYPERLINK("D:\python\英语学习\voices\"&amp;B3100&amp;"_2.mp3","AmE")</f>
        <v/>
      </c>
      <c r="I3100" s="18">
        <f>HYPERLINK("http://dict.youdao.com/w/"&amp;B3100,"有道")</f>
        <v/>
      </c>
    </row>
    <row customHeight="1" ht="42.75" r="3101">
      <c r="A3101" s="1" t="inlineStr">
        <is>
          <t>practice</t>
        </is>
      </c>
      <c r="B3101" s="1" t="inlineStr">
        <is>
          <t>banish</t>
        </is>
      </c>
      <c r="C3101" s="7">
        <f>"vt. 放逐；驱逐"&amp;CHAR(10)&amp;"n. (Banish)人名；(英)巴尼什"</f>
        <v/>
      </c>
      <c r="G3101" s="18">
        <f>HYPERLINK("D:\python\英语学习\voices\"&amp;B3101&amp;"_1.mp3","BrE")</f>
        <v/>
      </c>
      <c r="H3101" s="18">
        <f>HYPERLINK("D:\python\英语学习\voices\"&amp;B3101&amp;"_2.mp3","AmE")</f>
        <v/>
      </c>
      <c r="I3101" s="18">
        <f>HYPERLINK("http://dict.youdao.com/w/"&amp;B3101,"有道")</f>
        <v/>
      </c>
    </row>
    <row customHeight="1" ht="128.25" r="3102">
      <c r="B3102" s="1" t="inlineStr">
        <is>
          <t>trail</t>
        </is>
      </c>
      <c r="C3102" s="7">
        <f>"n. 足迹；（跟踪某人的）踪迹；（尤指细长）一缕；（人或动物）排成的长队；（荒野）小路；特定路线；滑雪坡；（炮架的）架尾；（电影等的）预告片"&amp;CHAR(10)&amp;"v. 拖，拉；（尤指植物）蔓延；（尤指根据痕迹等）追踪；（在游戏、比赛中）落后；拖沓行走；（声音、喇叭）减弱；预告（影片、节目等）；喷注（泥釉）"&amp;CHAR(10)&amp;"n. (Trail) （美）特雷尔（人名）"</f>
        <v/>
      </c>
      <c r="E3102" s="6" t="inlineStr">
        <is>
          <t>trail mix什锦干果，然而trail并没有干果的意思</t>
        </is>
      </c>
      <c r="G3102" s="18">
        <f>HYPERLINK("D:\python\英语学习\voices\"&amp;B3102&amp;"_1.mp3","BrE")</f>
        <v/>
      </c>
      <c r="H3102" s="18">
        <f>HYPERLINK("D:\python\英语学习\voices\"&amp;B3102&amp;"_2.mp3","AmE")</f>
        <v/>
      </c>
      <c r="I3102" s="18">
        <f>HYPERLINK("http://dict.youdao.com/w/"&amp;B3102,"有道")</f>
        <v/>
      </c>
    </row>
    <row customHeight="1" ht="57" r="3103">
      <c r="B3103" s="1" t="inlineStr">
        <is>
          <t>tug</t>
        </is>
      </c>
      <c r="C3103" s="7">
        <f>"v. （用力地）拉，拖；（迅速地）穿衣服；较量；用拖船拖；竞争；努力做"&amp;CHAR(10)&amp;"n. 拖船；拖曳；苦干；一股强烈的感情；（系在马鞍上的）圆环"</f>
        <v/>
      </c>
      <c r="G3103" s="18">
        <f>HYPERLINK("D:\python\英语学习\voices\"&amp;B3103&amp;"_1.mp3","BrE")</f>
        <v/>
      </c>
      <c r="H3103" s="18">
        <f>HYPERLINK("D:\python\英语学习\voices\"&amp;B3103&amp;"_2.mp3","AmE")</f>
        <v/>
      </c>
      <c r="I3103" s="18">
        <f>HYPERLINK("http://dict.youdao.com/w/"&amp;B3103,"有道")</f>
        <v/>
      </c>
    </row>
    <row customHeight="1" ht="28.5" r="3104">
      <c r="B3104" s="1" t="inlineStr">
        <is>
          <t>underline</t>
        </is>
      </c>
      <c r="C3104" s="7">
        <f>"vt. 强调；在…下面划线；预告"&amp;CHAR(10)&amp;"n. 下划线；下期节目预告"</f>
        <v/>
      </c>
      <c r="G3104" s="18">
        <f>HYPERLINK("D:\python\英语学习\voices\"&amp;B3104&amp;"_1.mp3","BrE")</f>
        <v/>
      </c>
      <c r="H3104" s="18">
        <f>HYPERLINK("D:\python\英语学习\voices\"&amp;B3104&amp;"_2.mp3","AmE")</f>
        <v/>
      </c>
      <c r="I3104" s="18">
        <f>HYPERLINK("http://dict.youdao.com/w/"&amp;B3104,"有道")</f>
        <v/>
      </c>
    </row>
    <row customHeight="1" ht="28.5" r="3105">
      <c r="A3105" s="1" t="inlineStr">
        <is>
          <t>practice</t>
        </is>
      </c>
      <c r="B3105" s="1" t="inlineStr">
        <is>
          <t>bode</t>
        </is>
      </c>
      <c r="C3105" s="7">
        <f>"vt. 预示；为…的兆头"&amp;CHAR(10)&amp;"vi. 预示"&amp;CHAR(10)&amp;"v. 停留；继续；遭到（bide的过去式）"&amp;CHAR(10)&amp;"n. (Bode)人名；(英、法、德、意、俄、尼日利、瑞典)博德"</f>
        <v/>
      </c>
      <c r="G3105" s="18">
        <f>HYPERLINK("D:\python\英语学习\voices\"&amp;B3105&amp;"_1.mp3","BrE")</f>
        <v/>
      </c>
      <c r="H3105" s="18">
        <f>HYPERLINK("D:\python\英语学习\voices\"&amp;B3105&amp;"_2.mp3","AmE")</f>
        <v/>
      </c>
      <c r="I3105" s="18">
        <f>HYPERLINK("http://dict.youdao.com/w/"&amp;B3105,"有道")</f>
        <v/>
      </c>
    </row>
    <row customHeight="1" ht="28.5" r="3106">
      <c r="B3106" s="1" t="inlineStr">
        <is>
          <t>unveil</t>
        </is>
      </c>
      <c r="C3106" s="7">
        <f>"vt. 使公之于众，揭开；揭幕"&amp;CHAR(10)&amp;"vi. 除去面纱；显露"</f>
        <v/>
      </c>
      <c r="E3106" s="6" t="inlineStr">
        <is>
          <t>veil面纱</t>
        </is>
      </c>
      <c r="G3106" s="18">
        <f>HYPERLINK("D:\python\英语学习\voices\"&amp;B3106&amp;"_1.mp3","BrE")</f>
        <v/>
      </c>
      <c r="H3106" s="18">
        <f>HYPERLINK("D:\python\英语学习\voices\"&amp;B3106&amp;"_2.mp3","AmE")</f>
        <v/>
      </c>
      <c r="I3106" s="18">
        <f>HYPERLINK("http://dict.youdao.com/w/"&amp;B3106,"有道")</f>
        <v/>
      </c>
    </row>
    <row customHeight="1" ht="28.5" r="3107">
      <c r="B3107" s="1" t="inlineStr">
        <is>
          <t>warrant</t>
        </is>
      </c>
      <c r="C3107" s="7">
        <f>"n. 根据；证明；正当理由；委任状"&amp;CHAR(10)&amp;"vt. 保证；担保；批准；辩解"</f>
        <v/>
      </c>
      <c r="E3107" t="inlineStr">
        <is>
          <t>不只是搜查令哦</t>
        </is>
      </c>
      <c r="G3107" s="18">
        <f>HYPERLINK("D:\python\英语学习\voices\"&amp;B3107&amp;"_1.mp3","BrE")</f>
        <v/>
      </c>
      <c r="H3107" s="18">
        <f>HYPERLINK("D:\python\英语学习\voices\"&amp;B3107&amp;"_2.mp3","AmE")</f>
        <v/>
      </c>
      <c r="I3107" s="18">
        <f>HYPERLINK("http://dict.youdao.com/w/"&amp;B3107,"有道")</f>
        <v/>
      </c>
    </row>
    <row customHeight="1" ht="71.25" r="3108">
      <c r="B3108" s="1" t="inlineStr">
        <is>
          <t>whip</t>
        </is>
      </c>
      <c r="C3108" s="7">
        <f>"n. 鞭子；鞭策者；纪律委员；投票指示；（机）搅拌器；蛋奶水果甜点心；抽打；车夫"&amp;CHAR(10)&amp;"v. 抽打；猛然移动；促使，煽动；搅打（蛋，奶油）；偷盗（非正式）；彻底击败（非正式）；用细绳缠绕加固；急走；拍击"</f>
        <v/>
      </c>
      <c r="G3108" s="18">
        <f>HYPERLINK("D:\python\英语学习\voices\"&amp;B3108&amp;"_1.mp3","BrE")</f>
        <v/>
      </c>
      <c r="H3108" s="18">
        <f>HYPERLINK("D:\python\英语学习\voices\"&amp;B3108&amp;"_2.mp3","AmE")</f>
        <v/>
      </c>
      <c r="I3108" s="18">
        <f>HYPERLINK("http://dict.youdao.com/w/"&amp;B3108,"有道")</f>
        <v/>
      </c>
    </row>
    <row customHeight="1" ht="42.75" r="3109">
      <c r="B3109" s="1" t="inlineStr">
        <is>
          <t>wreck</t>
        </is>
      </c>
      <c r="C3109" s="7">
        <f>"n. 破坏；失事；残骸；失去健康的人"&amp;CHAR(10)&amp;"vt. 破坏；使失事；拆毁"&amp;CHAR(10)&amp;"vi. 失事；营救失事船只"</f>
        <v/>
      </c>
      <c r="G3109" s="18">
        <f>HYPERLINK("D:\python\英语学习\voices\"&amp;B3109&amp;"_1.mp3","BrE")</f>
        <v/>
      </c>
      <c r="H3109" s="18">
        <f>HYPERLINK("D:\python\英语学习\voices\"&amp;B3109&amp;"_2.mp3","AmE")</f>
        <v/>
      </c>
      <c r="I3109" s="18">
        <f>HYPERLINK("http://dict.youdao.com/w/"&amp;B3109,"有道")</f>
        <v/>
      </c>
    </row>
    <row r="3110">
      <c r="B3110" s="1" t="inlineStr">
        <is>
          <t>adversary</t>
        </is>
      </c>
      <c r="C3110" s="7">
        <f>"n. 对手；敌手"</f>
        <v/>
      </c>
      <c r="G3110" s="18">
        <f>HYPERLINK("D:\python\英语学习\voices\"&amp;B3110&amp;"_1.mp3","BrE")</f>
        <v/>
      </c>
      <c r="H3110" s="18">
        <f>HYPERLINK("D:\python\英语学习\voices\"&amp;B3110&amp;"_2.mp3","AmE")</f>
        <v/>
      </c>
      <c r="I3110" s="18">
        <f>HYPERLINK("http://dict.youdao.com/w/"&amp;B3110,"有道")</f>
        <v/>
      </c>
    </row>
    <row r="3111">
      <c r="B3111" s="1" t="inlineStr">
        <is>
          <t>antidote</t>
        </is>
      </c>
      <c r="C3111" s="7">
        <f>"n. [药] 解毒剂；解药；矫正方法"</f>
        <v/>
      </c>
      <c r="G3111" s="18">
        <f>HYPERLINK("D:\python\英语学习\voices\"&amp;B3111&amp;"_1.mp3","BrE")</f>
        <v/>
      </c>
      <c r="H3111" s="18">
        <f>HYPERLINK("D:\python\英语学习\voices\"&amp;B3111&amp;"_2.mp3","AmE")</f>
        <v/>
      </c>
      <c r="I3111" s="18">
        <f>HYPERLINK("http://dict.youdao.com/w/"&amp;B3111,"有道")</f>
        <v/>
      </c>
    </row>
    <row r="3112">
      <c r="B3112" s="1" t="inlineStr">
        <is>
          <t>arbitration</t>
        </is>
      </c>
      <c r="C3112" s="7">
        <f>"n. 公断，仲裁"</f>
        <v/>
      </c>
      <c r="G3112" s="18">
        <f>HYPERLINK("D:\python\英语学习\voices\"&amp;B3112&amp;"_1.mp3","BrE")</f>
        <v/>
      </c>
      <c r="H3112" s="18">
        <f>HYPERLINK("D:\python\英语学习\voices\"&amp;B3112&amp;"_2.mp3","AmE")</f>
        <v/>
      </c>
      <c r="I3112" s="18">
        <f>HYPERLINK("http://dict.youdao.com/w/"&amp;B3112,"有道")</f>
        <v/>
      </c>
    </row>
    <row r="3113">
      <c r="B3113" s="1" t="inlineStr">
        <is>
          <t>arrogant</t>
        </is>
      </c>
      <c r="C3113" s="7">
        <f>"adj. 自大的，傲慢的"</f>
        <v/>
      </c>
      <c r="G3113" s="18">
        <f>HYPERLINK("D:\python\英语学习\voices\"&amp;B3113&amp;"_1.mp3","BrE")</f>
        <v/>
      </c>
      <c r="H3113" s="18">
        <f>HYPERLINK("D:\python\英语学习\voices\"&amp;B3113&amp;"_2.mp3","AmE")</f>
        <v/>
      </c>
      <c r="I3113" s="18">
        <f>HYPERLINK("http://dict.youdao.com/w/"&amp;B3113,"有道")</f>
        <v/>
      </c>
    </row>
    <row r="3114">
      <c r="B3114" s="1" t="inlineStr">
        <is>
          <t>arrogance</t>
        </is>
      </c>
      <c r="C3114" s="7">
        <f>"n. 自大；傲慢态度"</f>
        <v/>
      </c>
      <c r="G3114" s="18">
        <f>HYPERLINK("D:\python\英语学习\voices\"&amp;B3114&amp;"_1.mp3","BrE")</f>
        <v/>
      </c>
      <c r="H3114" s="18">
        <f>HYPERLINK("D:\python\英语学习\voices\"&amp;B3114&amp;"_2.mp3","AmE")</f>
        <v/>
      </c>
      <c r="I3114" s="18">
        <f>HYPERLINK("http://dict.youdao.com/w/"&amp;B3114,"有道")</f>
        <v/>
      </c>
    </row>
    <row r="3115">
      <c r="B3115" s="1" t="inlineStr">
        <is>
          <t>autonomy</t>
        </is>
      </c>
      <c r="C3115" s="7">
        <f>"n. 自治，自治权"</f>
        <v/>
      </c>
      <c r="G3115" s="18">
        <f>HYPERLINK("D:\python\英语学习\voices\"&amp;B3115&amp;"_1.mp3","BrE")</f>
        <v/>
      </c>
      <c r="H3115" s="18">
        <f>HYPERLINK("D:\python\英语学习\voices\"&amp;B3115&amp;"_2.mp3","AmE")</f>
        <v/>
      </c>
      <c r="I3115" s="18">
        <f>HYPERLINK("http://dict.youdao.com/w/"&amp;B3115,"有道")</f>
        <v/>
      </c>
    </row>
    <row customHeight="1" ht="28.5" r="3116">
      <c r="B3116" s="1" t="inlineStr">
        <is>
          <t>beneficiary</t>
        </is>
      </c>
      <c r="C3116" s="7">
        <f>"n. [金融] 受益人，受惠者；封臣"&amp;CHAR(10)&amp;"adj. 拥有封地的；受圣俸的"</f>
        <v/>
      </c>
      <c r="G3116" s="18">
        <f>HYPERLINK("D:\python\英语学习\voices\"&amp;B3116&amp;"_1.mp3","BrE")</f>
        <v/>
      </c>
      <c r="H3116" s="18">
        <f>HYPERLINK("D:\python\英语学习\voices\"&amp;B3116&amp;"_2.mp3","AmE")</f>
        <v/>
      </c>
      <c r="I3116" s="18">
        <f>HYPERLINK("http://dict.youdao.com/w/"&amp;B3116,"有道")</f>
        <v/>
      </c>
    </row>
    <row customHeight="1" ht="57" r="3117">
      <c r="B3117" s="1" t="inlineStr">
        <is>
          <t>bloom</t>
        </is>
      </c>
      <c r="C3117" s="7">
        <f>"n. 花；青春；旺盛"&amp;CHAR(10)&amp;"vt. 使开花；使茂盛"&amp;CHAR(10)&amp;"vi. 开花；茂盛"&amp;CHAR(10)&amp;"n. (Bloom)人名；(瑞典、西)布洛姆；(英)布卢姆"</f>
        <v/>
      </c>
      <c r="G3117" s="18">
        <f>HYPERLINK("D:\python\英语学习\voices\"&amp;B3117&amp;"_1.mp3","BrE")</f>
        <v/>
      </c>
      <c r="H3117" s="18">
        <f>HYPERLINK("D:\python\英语学习\voices\"&amp;B3117&amp;"_2.mp3","AmE")</f>
        <v/>
      </c>
      <c r="I3117" s="18">
        <f>HYPERLINK("http://dict.youdao.com/w/"&amp;B3117,"有道")</f>
        <v/>
      </c>
    </row>
    <row r="3118">
      <c r="B3118" s="1" t="inlineStr">
        <is>
          <t>blockbuster</t>
        </is>
      </c>
      <c r="C3118" s="7">
        <f>"n. 轰动；巨型炸弹；一鸣惊人者"</f>
        <v/>
      </c>
      <c r="G3118" s="18">
        <f>HYPERLINK("D:\python\英语学习\voices\"&amp;B3118&amp;"_1.mp3","BrE")</f>
        <v/>
      </c>
      <c r="H3118" s="18">
        <f>HYPERLINK("D:\python\英语学习\voices\"&amp;B3118&amp;"_2.mp3","AmE")</f>
        <v/>
      </c>
      <c r="I3118" s="18">
        <f>HYPERLINK("http://dict.youdao.com/w/"&amp;B3118,"有道")</f>
        <v/>
      </c>
    </row>
    <row r="3119">
      <c r="B3119" s="1" t="inlineStr">
        <is>
          <t>chunk</t>
        </is>
      </c>
      <c r="C3119" s="7">
        <f>"n. 大块；矮胖的人或物"</f>
        <v/>
      </c>
      <c r="G3119" s="18">
        <f>HYPERLINK("D:\python\英语学习\voices\"&amp;B3119&amp;"_1.mp3","BrE")</f>
        <v/>
      </c>
      <c r="H3119" s="18">
        <f>HYPERLINK("D:\python\英语学习\voices\"&amp;B3119&amp;"_2.mp3","AmE")</f>
        <v/>
      </c>
      <c r="I3119" s="18">
        <f>HYPERLINK("http://dict.youdao.com/w/"&amp;B3119,"有道")</f>
        <v/>
      </c>
    </row>
    <row r="3120">
      <c r="B3120" s="1" t="inlineStr">
        <is>
          <t>curfew</t>
        </is>
      </c>
      <c r="C3120" s="7">
        <f>"n. 宵禁；宵禁令；晚钟；打晚钟时刻"</f>
        <v/>
      </c>
      <c r="G3120" s="18">
        <f>HYPERLINK("D:\python\英语学习\voices\"&amp;B3120&amp;"_1.mp3","BrE")</f>
        <v/>
      </c>
      <c r="H3120" s="18">
        <f>HYPERLINK("D:\python\英语学习\voices\"&amp;B3120&amp;"_2.mp3","AmE")</f>
        <v/>
      </c>
      <c r="I3120" s="18">
        <f>HYPERLINK("http://dict.youdao.com/w/"&amp;B3120,"有道")</f>
        <v/>
      </c>
    </row>
    <row customHeight="1" ht="42.75" r="3121">
      <c r="A3121" s="1" t="inlineStr">
        <is>
          <t>practice</t>
        </is>
      </c>
      <c r="B3121" s="1" t="inlineStr">
        <is>
          <t>covet</t>
        </is>
      </c>
      <c r="C3121" s="7">
        <f>"vt. 垂涎；觊觎"&amp;CHAR(10)&amp;"vi. 垂涎；觊觎"</f>
        <v/>
      </c>
      <c r="E3121" s="10" t="inlineStr">
        <is>
          <t>=desire</t>
        </is>
      </c>
      <c r="F3121">
        <f>"The Academy Awards are coveted by every actor and director. 奥斯卡金像奖是每个演员和导演都梦寐以求的。"</f>
        <v/>
      </c>
      <c r="G3121" s="18">
        <f>HYPERLINK("D:\python\英语学习\voices\"&amp;B3121&amp;"_1.mp3","BrE")</f>
        <v/>
      </c>
      <c r="H3121" s="18">
        <f>HYPERLINK("D:\python\英语学习\voices\"&amp;B3121&amp;"_2.mp3","AmE")</f>
        <v/>
      </c>
      <c r="I3121" s="18">
        <f>HYPERLINK("http://dict.youdao.com/w/"&amp;B3121,"有道")</f>
        <v/>
      </c>
    </row>
    <row r="3122">
      <c r="B3122" s="1" t="inlineStr">
        <is>
          <t>delinquency</t>
        </is>
      </c>
      <c r="C3122" s="7">
        <f>"n. 行为不良，违法犯罪；失职，怠工"</f>
        <v/>
      </c>
      <c r="E3122" t="inlineStr">
        <is>
          <t>常指青少年犯罪</t>
        </is>
      </c>
      <c r="G3122" s="18">
        <f>HYPERLINK("D:\python\英语学习\voices\"&amp;B3122&amp;"_1.mp3","BrE")</f>
        <v/>
      </c>
      <c r="H3122" s="18">
        <f>HYPERLINK("D:\python\英语学习\voices\"&amp;B3122&amp;"_2.mp3","AmE")</f>
        <v/>
      </c>
      <c r="I3122" s="18">
        <f>HYPERLINK("http://dict.youdao.com/w/"&amp;B3122,"有道")</f>
        <v/>
      </c>
    </row>
    <row customHeight="1" ht="28.5" r="3123">
      <c r="B3123" s="1" t="inlineStr">
        <is>
          <t>disguise</t>
        </is>
      </c>
      <c r="C3123" s="7">
        <f>"vt. 掩饰；假装；隐瞒"&amp;CHAR(10)&amp;"n. 伪装；假装；用作伪装的东西"</f>
        <v/>
      </c>
      <c r="E3123" s="6" t="inlineStr">
        <is>
          <t>in disguise</t>
        </is>
      </c>
      <c r="G3123" s="18">
        <f>HYPERLINK("D:\python\英语学习\voices\"&amp;B3123&amp;"_1.mp3","BrE")</f>
        <v/>
      </c>
      <c r="H3123" s="18">
        <f>HYPERLINK("D:\python\英语学习\voices\"&amp;B3123&amp;"_2.mp3","AmE")</f>
        <v/>
      </c>
      <c r="I3123" s="18">
        <f>HYPERLINK("http://dict.youdao.com/w/"&amp;B3123,"有道")</f>
        <v/>
      </c>
    </row>
    <row customHeight="1" ht="28.5" r="3124">
      <c r="B3124" s="1" t="inlineStr">
        <is>
          <t>dissident</t>
        </is>
      </c>
      <c r="C3124" s="7">
        <f>"n. 持不同政见者；异议分子；批评政府者"&amp;CHAR(10)&amp;"adj. 持不同政见的，意见不同的"</f>
        <v/>
      </c>
      <c r="G3124" s="18">
        <f>HYPERLINK("D:\python\英语学习\voices\"&amp;B3124&amp;"_1.mp3","BrE")</f>
        <v/>
      </c>
      <c r="H3124" s="18">
        <f>HYPERLINK("D:\python\英语学习\voices\"&amp;B3124&amp;"_2.mp3","AmE")</f>
        <v/>
      </c>
      <c r="I3124" s="18">
        <f>HYPERLINK("http://dict.youdao.com/w/"&amp;B3124,"有道")</f>
        <v/>
      </c>
    </row>
    <row customHeight="1" ht="28.5" r="3125">
      <c r="B3125" s="1" t="inlineStr">
        <is>
          <t>franchise</t>
        </is>
      </c>
      <c r="C3125" s="7">
        <f>"n. 特权；公民权；经销权；管辖权"&amp;CHAR(10)&amp;"vt. 给…以特许（或特权）；赋予公民权"</f>
        <v/>
      </c>
      <c r="G3125" s="18">
        <f>HYPERLINK("D:\python\英语学习\voices\"&amp;B3125&amp;"_1.mp3","BrE")</f>
        <v/>
      </c>
      <c r="H3125" s="18">
        <f>HYPERLINK("D:\python\英语学习\voices\"&amp;B3125&amp;"_2.mp3","AmE")</f>
        <v/>
      </c>
      <c r="I3125" s="18">
        <f>HYPERLINK("http://dict.youdao.com/w/"&amp;B3125,"有道")</f>
        <v/>
      </c>
    </row>
    <row customHeight="1" ht="28.5" r="3126">
      <c r="B3126" s="1" t="inlineStr">
        <is>
          <t>fraud</t>
        </is>
      </c>
      <c r="C3126" s="7">
        <f>"n. 欺骗；骗子；诡计"&amp;CHAR(10)&amp;"n. (Fraud)人名；(法)弗罗"</f>
        <v/>
      </c>
      <c r="G3126" s="18">
        <f>HYPERLINK("D:\python\英语学习\voices\"&amp;B3126&amp;"_1.mp3","BrE")</f>
        <v/>
      </c>
      <c r="H3126" s="18">
        <f>HYPERLINK("D:\python\英语学习\voices\"&amp;B3126&amp;"_2.mp3","AmE")</f>
        <v/>
      </c>
      <c r="I3126" s="18">
        <f>HYPERLINK("http://dict.youdao.com/w/"&amp;B3126,"有道")</f>
        <v/>
      </c>
    </row>
    <row r="3127">
      <c r="B3127" s="1" t="inlineStr">
        <is>
          <t>friction</t>
        </is>
      </c>
      <c r="C3127" s="7">
        <f>"n. 摩擦，[力] 摩擦力"</f>
        <v/>
      </c>
      <c r="G3127" s="18">
        <f>HYPERLINK("D:\python\英语学习\voices\"&amp;B3127&amp;"_1.mp3","BrE")</f>
        <v/>
      </c>
      <c r="H3127" s="18">
        <f>HYPERLINK("D:\python\英语学习\voices\"&amp;B3127&amp;"_2.mp3","AmE")</f>
        <v/>
      </c>
      <c r="I3127" s="18">
        <f>HYPERLINK("http://dict.youdao.com/w/"&amp;B3127,"有道")</f>
        <v/>
      </c>
    </row>
    <row r="3128">
      <c r="B3128" s="1" t="inlineStr">
        <is>
          <t>fragile</t>
        </is>
      </c>
      <c r="C3128" s="7">
        <f>"adj. 脆的；易碎的"</f>
        <v/>
      </c>
      <c r="G3128" s="18">
        <f>HYPERLINK("D:\python\英语学习\voices\"&amp;B3128&amp;"_1.mp3","BrE")</f>
        <v/>
      </c>
      <c r="H3128" s="18">
        <f>HYPERLINK("D:\python\英语学习\voices\"&amp;B3128&amp;"_2.mp3","AmE")</f>
        <v/>
      </c>
      <c r="I3128" s="18">
        <f>HYPERLINK("http://dict.youdao.com/w/"&amp;B3128,"有道")</f>
        <v/>
      </c>
    </row>
    <row customHeight="1" ht="28.5" r="3129">
      <c r="B3129" s="1" t="inlineStr">
        <is>
          <t>glamour</t>
        </is>
      </c>
      <c r="C3129" s="7">
        <f>"n. 魅力，魔力；迷人的美"&amp;CHAR(10)&amp;"vt. 迷惑，迷住"</f>
        <v/>
      </c>
      <c r="E3129" s="10" t="inlineStr">
        <is>
          <t>=glamor</t>
        </is>
      </c>
      <c r="G3129" s="18">
        <f>HYPERLINK("D:\python\英语学习\voices\"&amp;B3129&amp;"_1.mp3","BrE")</f>
        <v/>
      </c>
      <c r="H3129" s="18">
        <f>HYPERLINK("D:\python\英语学习\voices\"&amp;B3129&amp;"_2.mp3","AmE")</f>
        <v/>
      </c>
      <c r="I3129" s="18">
        <f>HYPERLINK("http://dict.youdao.com/w/"&amp;B3129,"有道")</f>
        <v/>
      </c>
    </row>
    <row customHeight="1" ht="42.75" r="3130">
      <c r="B3130" s="1" t="inlineStr">
        <is>
          <t>guru</t>
        </is>
      </c>
      <c r="C3130" s="7">
        <f>"n. 古鲁（指印度教等宗教的宗师或领袖）；领袖；专家"&amp;CHAR(10)&amp;"n. (Guru)人名；(印)古鲁"</f>
        <v/>
      </c>
      <c r="G3130" s="18">
        <f>HYPERLINK("D:\python\英语学习\voices\"&amp;B3130&amp;"_1.mp3","BrE")</f>
        <v/>
      </c>
      <c r="H3130" s="18">
        <f>HYPERLINK("D:\python\英语学习\voices\"&amp;B3130&amp;"_2.mp3","AmE")</f>
        <v/>
      </c>
      <c r="I3130" s="18">
        <f>HYPERLINK("http://dict.youdao.com/w/"&amp;B3130,"有道")</f>
        <v/>
      </c>
    </row>
    <row customHeight="1" ht="57" r="3131">
      <c r="B3131" s="1" t="inlineStr">
        <is>
          <t>guise</t>
        </is>
      </c>
      <c r="C3131" s="7">
        <f>"n. 伪装；装束；外观"&amp;CHAR(10)&amp;"vt. 使化装"&amp;CHAR(10)&amp;"vi. 伪装"&amp;CHAR(10)&amp;"n. (Guise)人名；(葡)吉塞；(英、法)吉斯"</f>
        <v/>
      </c>
      <c r="G3131" s="18">
        <f>HYPERLINK("D:\python\英语学习\voices\"&amp;B3131&amp;"_1.mp3","BrE")</f>
        <v/>
      </c>
      <c r="H3131" s="18">
        <f>HYPERLINK("D:\python\英语学习\voices\"&amp;B3131&amp;"_2.mp3","AmE")</f>
        <v/>
      </c>
      <c r="I3131" s="18">
        <f>HYPERLINK("http://dict.youdao.com/w/"&amp;B3131,"有道")</f>
        <v/>
      </c>
    </row>
    <row r="3132">
      <c r="A3132" t="inlineStr">
        <is>
          <t>practice</t>
        </is>
      </c>
      <c r="B3132" s="1" t="inlineStr">
        <is>
          <t>deprecate</t>
        </is>
      </c>
      <c r="C3132" s="7">
        <f>"vt. 反对；抨击；轻视；声明不赞成"</f>
        <v/>
      </c>
      <c r="E3132" t="inlineStr">
        <is>
          <t>强烈反对，极不赞成</t>
        </is>
      </c>
      <c r="G3132" s="18">
        <f>HYPERLINK("D:\python\英语学习\voices\"&amp;B3132&amp;"_1.mp3","BrE")</f>
        <v/>
      </c>
      <c r="H3132" s="18">
        <f>HYPERLINK("D:\python\英语学习\voices\"&amp;B3132&amp;"_2.mp3","AmE")</f>
        <v/>
      </c>
      <c r="I3132" s="18">
        <f>HYPERLINK("http://dict.youdao.com/w/"&amp;B3132,"有道")</f>
        <v/>
      </c>
    </row>
    <row r="3133">
      <c r="A3133" s="1" t="inlineStr">
        <is>
          <t>practice</t>
        </is>
      </c>
      <c r="B3133" s="1" t="inlineStr">
        <is>
          <t>immerse</t>
        </is>
      </c>
      <c r="C3133" s="7">
        <f>"vt. 沉浸；使陷入"</f>
        <v/>
      </c>
      <c r="G3133" s="18">
        <f>HYPERLINK("D:\python\英语学习\voices\"&amp;B3133&amp;"_1.mp3","BrE")</f>
        <v/>
      </c>
      <c r="H3133" s="18">
        <f>HYPERLINK("D:\python\英语学习\voices\"&amp;B3133&amp;"_2.mp3","AmE")</f>
        <v/>
      </c>
      <c r="I3133" s="18">
        <f>HYPERLINK("http://dict.youdao.com/w/"&amp;B3133,"有道")</f>
        <v/>
      </c>
    </row>
    <row customHeight="1" ht="57" r="3134">
      <c r="A3134" s="1" t="inlineStr">
        <is>
          <t>practice</t>
        </is>
      </c>
      <c r="B3134" s="1" t="inlineStr">
        <is>
          <t>savor</t>
        </is>
      </c>
      <c r="C3134" s="7">
        <f>"vt. 尽情享受；使有风味；加调味品于；品尝，欣赏"&amp;CHAR(10)&amp;"vi. 有…的滋味；带有…的性质"&amp;CHAR(10)&amp;"n. 滋味；气味；食欲"</f>
        <v/>
      </c>
      <c r="E3134" s="6" t="inlineStr">
        <is>
          <t>savor the moment享受此刻</t>
        </is>
      </c>
      <c r="G3134" s="18">
        <f>HYPERLINK("D:\python\英语学习\voices\"&amp;B3134&amp;"_1.mp3","BrE")</f>
        <v/>
      </c>
      <c r="H3134" s="18">
        <f>HYPERLINK("D:\python\英语学习\voices\"&amp;B3134&amp;"_2.mp3","AmE")</f>
        <v/>
      </c>
      <c r="I3134" s="18">
        <f>HYPERLINK("http://dict.youdao.com/w/"&amp;B3134,"有道")</f>
        <v/>
      </c>
    </row>
    <row customHeight="1" ht="57" r="3135">
      <c r="B3135" s="1" t="inlineStr">
        <is>
          <t>heed</t>
        </is>
      </c>
      <c r="C3135" s="7">
        <f>"vi. 注意，留心"&amp;CHAR(10)&amp;"n. 注意到；留心到"&amp;CHAR(10)&amp;"vt. 注意，留心"&amp;CHAR(10)&amp;"n. (Heed)人名；(瑞典)赫德"</f>
        <v/>
      </c>
      <c r="G3135" s="18">
        <f>HYPERLINK("D:\python\英语学习\voices\"&amp;B3135&amp;"_1.mp3","BrE")</f>
        <v/>
      </c>
      <c r="H3135" s="18">
        <f>HYPERLINK("D:\python\英语学习\voices\"&amp;B3135&amp;"_2.mp3","AmE")</f>
        <v/>
      </c>
      <c r="I3135" s="18">
        <f>HYPERLINK("http://dict.youdao.com/w/"&amp;B3135,"有道")</f>
        <v/>
      </c>
    </row>
    <row customHeight="1" ht="28.5" r="3136">
      <c r="B3136" s="1" t="inlineStr">
        <is>
          <t>heyday</t>
        </is>
      </c>
      <c r="C3136" s="7">
        <f>"n. 全盛期"&amp;CHAR(10)&amp;"int. 嘿！（表喜悦或惊奇等）"</f>
        <v/>
      </c>
      <c r="G3136" s="18">
        <f>HYPERLINK("D:\python\英语学习\voices\"&amp;B3136&amp;"_1.mp3","BrE")</f>
        <v/>
      </c>
      <c r="H3136" s="18">
        <f>HYPERLINK("D:\python\英语学习\voices\"&amp;B3136&amp;"_2.mp3","AmE")</f>
        <v/>
      </c>
      <c r="I3136" s="18">
        <f>HYPERLINK("http://dict.youdao.com/w/"&amp;B3136,"有道")</f>
        <v/>
      </c>
    </row>
    <row customHeight="1" ht="28.5" r="3137">
      <c r="B3137" s="1" t="inlineStr">
        <is>
          <t>erode</t>
        </is>
      </c>
      <c r="C3137" s="7">
        <f>"vt. 腐蚀，侵蚀"&amp;CHAR(10)&amp;"vi. 侵蚀；受腐蚀"</f>
        <v/>
      </c>
      <c r="G3137" s="18">
        <f>HYPERLINK("D:\python\英语学习\voices\"&amp;B3137&amp;"_1.mp3","BrE")</f>
        <v/>
      </c>
      <c r="H3137" s="18">
        <f>HYPERLINK("D:\python\英语学习\voices\"&amp;B3137&amp;"_2.mp3","AmE")</f>
        <v/>
      </c>
      <c r="I3137" s="18">
        <f>HYPERLINK("http://dict.youdao.com/w/"&amp;B3137,"有道")</f>
        <v/>
      </c>
    </row>
    <row r="3138">
      <c r="B3138" s="1" t="inlineStr">
        <is>
          <t>custody</t>
        </is>
      </c>
      <c r="C3138" s="7">
        <f>"n. 保管；监护；拘留；抚养权"</f>
        <v/>
      </c>
      <c r="G3138" s="18">
        <f>HYPERLINK("D:\python\英语学习\voices\"&amp;B3138&amp;"_1.mp3","BrE")</f>
        <v/>
      </c>
      <c r="H3138" s="18">
        <f>HYPERLINK("D:\python\英语学习\voices\"&amp;B3138&amp;"_2.mp3","AmE")</f>
        <v/>
      </c>
      <c r="I3138" s="18">
        <f>HYPERLINK("http://dict.youdao.com/w/"&amp;B3138,"有道")</f>
        <v/>
      </c>
    </row>
    <row customHeight="1" ht="57" r="3139">
      <c r="B3139" s="1" t="inlineStr">
        <is>
          <t>estranged</t>
        </is>
      </c>
      <c r="C3139" s="7">
        <f>"adj. 分居的；疏远的，不和的；（与某事物）脱离的，决裂的"&amp;CHAR(10)&amp;"v. 使疏远，使离间；使隔离（estrange 的过去式和过去分词）"</f>
        <v/>
      </c>
      <c r="G3139" s="18">
        <f>HYPERLINK("D:\python\英语学习\voices\"&amp;B3139&amp;"_1.mp3","BrE")</f>
        <v/>
      </c>
      <c r="H3139" s="18">
        <f>HYPERLINK("D:\python\英语学习\voices\"&amp;B3139&amp;"_2.mp3","AmE")</f>
        <v/>
      </c>
      <c r="I3139" s="18">
        <f>HYPERLINK("http://dict.youdao.com/w/"&amp;B3139,"有道")</f>
        <v/>
      </c>
    </row>
    <row r="3140">
      <c r="B3140" s="1" t="inlineStr">
        <is>
          <t>legacy</t>
        </is>
      </c>
      <c r="C3140" s="7">
        <f>"n. 遗赠，遗产"</f>
        <v/>
      </c>
      <c r="G3140" s="18">
        <f>HYPERLINK("D:\python\英语学习\voices\"&amp;B3140&amp;"_1.mp3","BrE")</f>
        <v/>
      </c>
      <c r="H3140" s="18">
        <f>HYPERLINK("D:\python\英语学习\voices\"&amp;B3140&amp;"_2.mp3","AmE")</f>
        <v/>
      </c>
      <c r="I3140" s="18">
        <f>HYPERLINK("http://dict.youdao.com/w/"&amp;B3140,"有道")</f>
        <v/>
      </c>
    </row>
    <row r="3141">
      <c r="B3141" s="1" t="inlineStr">
        <is>
          <t>legitimacy</t>
        </is>
      </c>
      <c r="C3141" s="7">
        <f>"n. 合法；合理；正统"</f>
        <v/>
      </c>
      <c r="G3141" s="18">
        <f>HYPERLINK("D:\python\英语学习\voices\"&amp;B3141&amp;"_1.mp3","BrE")</f>
        <v/>
      </c>
      <c r="H3141" s="18">
        <f>HYPERLINK("D:\python\英语学习\voices\"&amp;B3141&amp;"_2.mp3","AmE")</f>
        <v/>
      </c>
      <c r="I3141" s="18">
        <f>HYPERLINK("http://dict.youdao.com/w/"&amp;B3141,"有道")</f>
        <v/>
      </c>
    </row>
    <row r="3142">
      <c r="A3142" s="1" t="inlineStr">
        <is>
          <t>unnecessary</t>
        </is>
      </c>
      <c r="B3142" s="1" t="inlineStr">
        <is>
          <t>lieutenant</t>
        </is>
      </c>
      <c r="C3142" s="7">
        <f>"n. 中尉；副官；助理人员"</f>
        <v/>
      </c>
      <c r="G3142" s="18">
        <f>HYPERLINK("D:\python\英语学习\voices\"&amp;B3142&amp;"_1.mp3","BrE")</f>
        <v/>
      </c>
      <c r="H3142" s="18">
        <f>HYPERLINK("D:\python\英语学习\voices\"&amp;B3142&amp;"_2.mp3","AmE")</f>
        <v/>
      </c>
      <c r="I3142" s="18">
        <f>HYPERLINK("http://dict.youdao.com/w/"&amp;B3142,"有道")</f>
        <v/>
      </c>
    </row>
    <row r="3143">
      <c r="B3143" s="1" t="inlineStr">
        <is>
          <t>knack</t>
        </is>
      </c>
      <c r="C3143" s="7">
        <f>"n. 诀窍；本领；熟练技术；巧妙手法"</f>
        <v/>
      </c>
      <c r="G3143" s="18">
        <f>HYPERLINK("D:\python\英语学习\voices\"&amp;B3143&amp;"_1.mp3","BrE")</f>
        <v/>
      </c>
      <c r="H3143" s="18">
        <f>HYPERLINK("D:\python\英语学习\voices\"&amp;B3143&amp;"_2.mp3","AmE")</f>
        <v/>
      </c>
      <c r="I3143" s="18">
        <f>HYPERLINK("http://dict.youdao.com/w/"&amp;B3143,"有道")</f>
        <v/>
      </c>
    </row>
    <row customHeight="1" ht="28.5" r="3144">
      <c r="B3144" s="1" t="inlineStr">
        <is>
          <t>limelight</t>
        </is>
      </c>
      <c r="C3144" s="7">
        <f>"n. 众人注目的中心；石灰光，石灰光灯"&amp;CHAR(10)&amp;"v. 使受到注目"</f>
        <v/>
      </c>
      <c r="E3144" s="6" t="inlineStr">
        <is>
          <t>steal the limelight from夺取焦点</t>
        </is>
      </c>
      <c r="G3144" s="18">
        <f>HYPERLINK("D:\python\英语学习\voices\"&amp;B3144&amp;"_1.mp3","BrE")</f>
        <v/>
      </c>
      <c r="H3144" s="18">
        <f>HYPERLINK("D:\python\英语学习\voices\"&amp;B3144&amp;"_2.mp3","AmE")</f>
        <v/>
      </c>
      <c r="I3144" s="18">
        <f>HYPERLINK("http://dict.youdao.com/w/"&amp;B3144,"有道")</f>
        <v/>
      </c>
    </row>
    <row customHeight="1" ht="71.25" r="3145">
      <c r="B3145" s="1" t="inlineStr">
        <is>
          <t>promenade</t>
        </is>
      </c>
      <c r="C3145" s="7">
        <f>"n. 散步场所（尤指海滨步行大道）；散步，骑马；（乡村舞蹈）齐步行进；（大中学校年终举办的）班级舞会"&amp;CHAR(10)&amp;"v. 散步，骑马；（尤指招摇地）领（某人）散步"</f>
        <v/>
      </c>
      <c r="G3145" s="18">
        <f>HYPERLINK("D:\python\英语学习\voices\"&amp;B3145&amp;"_1.mp3","BrE")</f>
        <v/>
      </c>
      <c r="H3145" s="18">
        <f>HYPERLINK("D:\python\英语学习\voices\"&amp;B3145&amp;"_2.mp3","AmE")</f>
        <v/>
      </c>
      <c r="I3145" s="18">
        <f>HYPERLINK("http://dict.youdao.com/w/"&amp;B3145,"有道")</f>
        <v/>
      </c>
    </row>
    <row r="3146">
      <c r="B3146" s="1" t="inlineStr">
        <is>
          <t>literacy</t>
        </is>
      </c>
      <c r="C3146" s="7">
        <f>"n. 读写能力；精通文学"</f>
        <v/>
      </c>
      <c r="G3146" s="18">
        <f>HYPERLINK("D:\python\英语学习\voices\"&amp;B3146&amp;"_1.mp3","BrE")</f>
        <v/>
      </c>
      <c r="H3146" s="18">
        <f>HYPERLINK("D:\python\英语学习\voices\"&amp;B3146&amp;"_2.mp3","AmE")</f>
        <v/>
      </c>
      <c r="I3146" s="18">
        <f>HYPERLINK("http://dict.youdao.com/w/"&amp;B3146,"有道")</f>
        <v/>
      </c>
    </row>
    <row r="3147">
      <c r="B3147" s="1" t="inlineStr">
        <is>
          <t>marquee</t>
        </is>
      </c>
      <c r="C3147" s="7">
        <f>"n. 选取框；大天幕；华盖"</f>
        <v/>
      </c>
      <c r="G3147" s="18">
        <f>HYPERLINK("D:\python\英语学习\voices\"&amp;B3147&amp;"_1.mp3","BrE")</f>
        <v/>
      </c>
      <c r="H3147" s="18">
        <f>HYPERLINK("D:\python\英语学习\voices\"&amp;B3147&amp;"_2.mp3","AmE")</f>
        <v/>
      </c>
      <c r="I3147" s="18">
        <f>HYPERLINK("http://dict.youdao.com/w/"&amp;B3147,"有道")</f>
        <v/>
      </c>
    </row>
    <row customHeight="1" ht="28.5" r="3148">
      <c r="A3148" s="1" t="inlineStr">
        <is>
          <t>unnecessary</t>
        </is>
      </c>
      <c r="B3148" s="1" t="inlineStr">
        <is>
          <t>misogynistic</t>
        </is>
      </c>
      <c r="C3148" s="7">
        <f>"歧视女性的"&amp;CHAR(10)&amp;"厌恶女人的"</f>
        <v/>
      </c>
      <c r="G3148" s="18">
        <f>HYPERLINK("D:\python\英语学习\voices\"&amp;B3148&amp;"_1.mp3","BrE")</f>
        <v/>
      </c>
      <c r="H3148" s="18">
        <f>HYPERLINK("D:\python\英语学习\voices\"&amp;B3148&amp;"_2.mp3","AmE")</f>
        <v/>
      </c>
      <c r="I3148" s="18">
        <f>HYPERLINK("http://dict.youdao.com/w/"&amp;B3148,"有道")</f>
        <v/>
      </c>
    </row>
    <row customHeight="1" ht="28.5" r="3149">
      <c r="B3149" s="1" t="inlineStr">
        <is>
          <t>mania</t>
        </is>
      </c>
      <c r="C3149" s="7">
        <f>"n. 狂热；狂躁；热衷"&amp;CHAR(10)&amp;"n. (Mania)人名；(罗、阿拉伯、西)马尼亚"</f>
        <v/>
      </c>
      <c r="G3149" s="18">
        <f>HYPERLINK("D:\python\英语学习\voices\"&amp;B3149&amp;"_1.mp3","BrE")</f>
        <v/>
      </c>
      <c r="H3149" s="18">
        <f>HYPERLINK("D:\python\英语学习\voices\"&amp;B3149&amp;"_2.mp3","AmE")</f>
        <v/>
      </c>
      <c r="I3149" s="18">
        <f>HYPERLINK("http://dict.youdao.com/w/"&amp;B3149,"有道")</f>
        <v/>
      </c>
    </row>
    <row customHeight="1" ht="28.5" r="3150">
      <c r="B3150" s="1" t="inlineStr">
        <is>
          <t>mayhem</t>
        </is>
      </c>
      <c r="C3150" s="7">
        <f>"n. 骚乱，混乱；故意伤害罪，重伤罪；蓄意破坏"</f>
        <v/>
      </c>
      <c r="G3150" s="18">
        <f>HYPERLINK("D:\python\英语学习\voices\"&amp;B3150&amp;"_1.mp3","BrE")</f>
        <v/>
      </c>
      <c r="H3150" s="18">
        <f>HYPERLINK("D:\python\英语学习\voices\"&amp;B3150&amp;"_2.mp3","AmE")</f>
        <v/>
      </c>
      <c r="I3150" s="18">
        <f>HYPERLINK("http://dict.youdao.com/w/"&amp;B3150,"有道")</f>
        <v/>
      </c>
    </row>
    <row customHeight="1" ht="29.1" r="3151">
      <c r="B3151" s="1" t="inlineStr">
        <is>
          <t>melodrama</t>
        </is>
      </c>
      <c r="C3151" s="7">
        <f>"n. 情节剧；音乐剧；耸人听闻的事件，闹剧"</f>
        <v/>
      </c>
      <c r="G3151" s="18">
        <f>HYPERLINK("D:\python\英语学习\voices\"&amp;B3151&amp;"_1.mp3","BrE")</f>
        <v/>
      </c>
      <c r="H3151" s="18">
        <f>HYPERLINK("D:\python\英语学习\voices\"&amp;B3151&amp;"_2.mp3","AmE")</f>
        <v/>
      </c>
      <c r="I3151" s="18">
        <f>HYPERLINK("http://dict.youdao.com/w/"&amp;B3151,"有道")</f>
        <v/>
      </c>
    </row>
    <row r="3152">
      <c r="B3152" s="1" t="inlineStr">
        <is>
          <t>memoir</t>
        </is>
      </c>
      <c r="C3152" s="7">
        <f>"n. 回忆录；研究报告；自传；实录"</f>
        <v/>
      </c>
      <c r="G3152" s="18">
        <f>HYPERLINK("D:\python\英语学习\voices\"&amp;B3152&amp;"_1.mp3","BrE")</f>
        <v/>
      </c>
      <c r="H3152" s="18">
        <f>HYPERLINK("D:\python\英语学习\voices\"&amp;B3152&amp;"_2.mp3","AmE")</f>
        <v/>
      </c>
      <c r="I3152" s="18">
        <f>HYPERLINK("http://dict.youdao.com/w/"&amp;B3152,"有道")</f>
        <v/>
      </c>
    </row>
    <row r="3153">
      <c r="B3153" s="1" t="inlineStr">
        <is>
          <t>moderation</t>
        </is>
      </c>
      <c r="C3153" s="7">
        <f>"n. 适度；节制；温和；缓和"</f>
        <v/>
      </c>
      <c r="G3153" s="18">
        <f>HYPERLINK("D:\python\英语学习\voices\"&amp;B3153&amp;"_1.mp3","BrE")</f>
        <v/>
      </c>
      <c r="H3153" s="18">
        <f>HYPERLINK("D:\python\英语学习\voices\"&amp;B3153&amp;"_2.mp3","AmE")</f>
        <v/>
      </c>
      <c r="I3153" s="18">
        <f>HYPERLINK("http://dict.youdao.com/w/"&amp;B3153,"有道")</f>
        <v/>
      </c>
    </row>
    <row r="3154">
      <c r="B3154" s="1" t="inlineStr">
        <is>
          <t>namesake</t>
        </is>
      </c>
      <c r="C3154" s="7">
        <f>"n. 名义；同名物；同名的人"</f>
        <v/>
      </c>
      <c r="G3154" s="18">
        <f>HYPERLINK("D:\python\英语学习\voices\"&amp;B3154&amp;"_1.mp3","BrE")</f>
        <v/>
      </c>
      <c r="H3154" s="18">
        <f>HYPERLINK("D:\python\英语学习\voices\"&amp;B3154&amp;"_2.mp3","AmE")</f>
        <v/>
      </c>
      <c r="I3154" s="18">
        <f>HYPERLINK("http://dict.youdao.com/w/"&amp;B3154,"有道")</f>
        <v/>
      </c>
    </row>
    <row r="3155">
      <c r="A3155" s="1" t="inlineStr">
        <is>
          <t>unnecessary</t>
        </is>
      </c>
      <c r="B3155" s="1" t="inlineStr">
        <is>
          <t>newsletter</t>
        </is>
      </c>
      <c r="C3155" s="7">
        <f>"n. 时事通讯"</f>
        <v/>
      </c>
      <c r="E3155" s="6" t="inlineStr">
        <is>
          <t>简讯</t>
        </is>
      </c>
      <c r="G3155" s="18">
        <f>HYPERLINK("D:\python\英语学习\voices\"&amp;B3155&amp;"_1.mp3","BrE")</f>
        <v/>
      </c>
      <c r="H3155" s="18">
        <f>HYPERLINK("D:\python\英语学习\voices\"&amp;B3155&amp;"_2.mp3","AmE")</f>
        <v/>
      </c>
      <c r="I3155" s="18">
        <f>HYPERLINK("http://dict.youdao.com/w/"&amp;B3155,"有道")</f>
        <v/>
      </c>
    </row>
    <row r="3156">
      <c r="B3156" s="1" t="inlineStr">
        <is>
          <t>onset</t>
        </is>
      </c>
      <c r="C3156" s="7">
        <f>"n. 开始，着手；发作；攻击，进攻"</f>
        <v/>
      </c>
      <c r="G3156" s="18">
        <f>HYPERLINK("D:\python\英语学习\voices\"&amp;B3156&amp;"_1.mp3","BrE")</f>
        <v/>
      </c>
      <c r="H3156" s="18">
        <f>HYPERLINK("D:\python\英语学习\voices\"&amp;B3156&amp;"_2.mp3","AmE")</f>
        <v/>
      </c>
      <c r="I3156" s="18">
        <f>HYPERLINK("http://dict.youdao.com/w/"&amp;B3156,"有道")</f>
        <v/>
      </c>
    </row>
    <row customHeight="1" ht="42.75" r="3157">
      <c r="B3157" s="1" t="inlineStr">
        <is>
          <t>parallel</t>
        </is>
      </c>
      <c r="C3157" s="7">
        <f>"n. 平行线；对比"&amp;CHAR(10)&amp;"vt. 使…与…平行"&amp;CHAR(10)&amp;"adj. 平行的；类似的，相同的"</f>
        <v/>
      </c>
      <c r="G3157" s="18">
        <f>HYPERLINK("D:\python\英语学习\voices\"&amp;B3157&amp;"_1.mp3","BrE")</f>
        <v/>
      </c>
      <c r="H3157" s="18">
        <f>HYPERLINK("D:\python\英语学习\voices\"&amp;B3157&amp;"_2.mp3","AmE")</f>
        <v/>
      </c>
      <c r="I3157" s="18">
        <f>HYPERLINK("http://dict.youdao.com/w/"&amp;B3157,"有道")</f>
        <v/>
      </c>
    </row>
    <row customHeight="1" ht="28.5" r="3158">
      <c r="B3158" s="1" t="inlineStr">
        <is>
          <t>perspective</t>
        </is>
      </c>
      <c r="C3158" s="7">
        <f>"n. 观点；远景；透视图"&amp;CHAR(10)&amp;"adj. 透视的"</f>
        <v/>
      </c>
      <c r="E3158" t="inlineStr">
        <is>
          <t>from my perspective...?</t>
        </is>
      </c>
      <c r="G3158" s="18">
        <f>HYPERLINK("D:\python\英语学习\voices\"&amp;B3158&amp;"_1.mp3","BrE")</f>
        <v/>
      </c>
      <c r="H3158" s="18">
        <f>HYPERLINK("D:\python\英语学习\voices\"&amp;B3158&amp;"_2.mp3","AmE")</f>
        <v/>
      </c>
      <c r="I3158" s="18">
        <f>HYPERLINK("http://dict.youdao.com/w/"&amp;B3158,"有道")</f>
        <v/>
      </c>
    </row>
    <row customHeight="1" ht="28.5" r="3159">
      <c r="B3159" s="1" t="inlineStr">
        <is>
          <t>deprived</t>
        </is>
      </c>
      <c r="C3159" s="7">
        <f>"adj. 贫困的，穷苦的，严重匮乏的；（人）丧失的，被剥夺的"</f>
        <v/>
      </c>
      <c r="G3159" s="18">
        <f>HYPERLINK("D:\python\英语学习\voices\"&amp;B3159&amp;"_1.mp3","BrE")</f>
        <v/>
      </c>
      <c r="H3159" s="18">
        <f>HYPERLINK("D:\python\英语学习\voices\"&amp;B3159&amp;"_2.mp3","AmE")</f>
        <v/>
      </c>
      <c r="I3159" s="18">
        <f>HYPERLINK("http://dict.youdao.com/w/"&amp;B3159,"有道")</f>
        <v/>
      </c>
    </row>
    <row customHeight="1" ht="28.5" r="3160">
      <c r="B3160" s="1" t="inlineStr">
        <is>
          <t>pinnacle</t>
        </is>
      </c>
      <c r="C3160" s="7">
        <f>"n. 高峰；小尖塔；尖峰；极点"&amp;CHAR(10)&amp;"vt. 造小尖塔；置于尖顶上；置于高处"</f>
        <v/>
      </c>
      <c r="G3160" s="18">
        <f>HYPERLINK("D:\python\英语学习\voices\"&amp;B3160&amp;"_1.mp3","BrE")</f>
        <v/>
      </c>
      <c r="H3160" s="18">
        <f>HYPERLINK("D:\python\英语学习\voices\"&amp;B3160&amp;"_2.mp3","AmE")</f>
        <v/>
      </c>
      <c r="I3160" s="18">
        <f>HYPERLINK("http://dict.youdao.com/w/"&amp;B3160,"有道")</f>
        <v/>
      </c>
    </row>
    <row r="3161">
      <c r="B3161" s="1" t="inlineStr">
        <is>
          <t>predicament</t>
        </is>
      </c>
      <c r="C3161" s="7">
        <f>"n. 窘况，困境；状态"</f>
        <v/>
      </c>
      <c r="G3161" s="18">
        <f>HYPERLINK("D:\python\英语学习\voices\"&amp;B3161&amp;"_1.mp3","BrE")</f>
        <v/>
      </c>
      <c r="H3161" s="18">
        <f>HYPERLINK("D:\python\英语学习\voices\"&amp;B3161&amp;"_2.mp3","AmE")</f>
        <v/>
      </c>
      <c r="I3161" s="18">
        <f>HYPERLINK("http://dict.youdao.com/w/"&amp;B3161,"有道")</f>
        <v/>
      </c>
    </row>
    <row r="3162">
      <c r="B3162" s="1" t="inlineStr">
        <is>
          <t>prophet</t>
        </is>
      </c>
      <c r="C3162" s="7">
        <f>"n. 先知；预言者；提倡者"</f>
        <v/>
      </c>
      <c r="G3162" s="18">
        <f>HYPERLINK("D:\python\英语学习\voices\"&amp;B3162&amp;"_1.mp3","BrE")</f>
        <v/>
      </c>
      <c r="H3162" s="18">
        <f>HYPERLINK("D:\python\英语学习\voices\"&amp;B3162&amp;"_2.mp3","AmE")</f>
        <v/>
      </c>
      <c r="I3162" s="18">
        <f>HYPERLINK("http://dict.youdao.com/w/"&amp;B3162,"有道")</f>
        <v/>
      </c>
    </row>
    <row r="3163">
      <c r="B3163" s="1" t="inlineStr">
        <is>
          <t>psyche</t>
        </is>
      </c>
      <c r="C3163" s="7">
        <f>"n. 灵魂；心智"</f>
        <v/>
      </c>
      <c r="G3163" s="18">
        <f>HYPERLINK("D:\python\英语学习\voices\"&amp;B3163&amp;"_1.mp3","BrE")</f>
        <v/>
      </c>
      <c r="H3163" s="18">
        <f>HYPERLINK("D:\python\英语学习\voices\"&amp;B3163&amp;"_2.mp3","AmE")</f>
        <v/>
      </c>
      <c r="I3163" s="18">
        <f>HYPERLINK("http://dict.youdao.com/w/"&amp;B3163,"有道")</f>
        <v/>
      </c>
    </row>
    <row customHeight="1" ht="85.5" r="3164">
      <c r="B3164" s="1" t="inlineStr">
        <is>
          <t>rally</t>
        </is>
      </c>
      <c r="C3164" s="7">
        <f>"v. 召集；（军队）重新集合；复原；价格回升；集结；联合；（使）重新振作；参加汽车拉力赛；对……善意打趣；嘲笑"&amp;CHAR(10)&amp;"n. 公众集会；汽车拉力赛；往返拍击；止跌回升；竞赛"&amp;CHAR(10)&amp;"n. (Rally) （美）拉利（人名）"</f>
        <v/>
      </c>
      <c r="G3164" s="18">
        <f>HYPERLINK("D:\python\英语学习\voices\"&amp;B3164&amp;"_1.mp3","BrE")</f>
        <v/>
      </c>
      <c r="H3164" s="18">
        <f>HYPERLINK("D:\python\英语学习\voices\"&amp;B3164&amp;"_2.mp3","AmE")</f>
        <v/>
      </c>
      <c r="I3164" s="18">
        <f>HYPERLINK("http://dict.youdao.com/w/"&amp;B3164,"有道")</f>
        <v/>
      </c>
    </row>
    <row r="3165">
      <c r="B3165" s="1" t="inlineStr">
        <is>
          <t>rehearsal</t>
        </is>
      </c>
      <c r="C3165" s="7">
        <f>"n. 排演；预演；练习；训练；叙述"</f>
        <v/>
      </c>
      <c r="G3165" s="18">
        <f>HYPERLINK("D:\python\英语学习\voices\"&amp;B3165&amp;"_1.mp3","BrE")</f>
        <v/>
      </c>
      <c r="H3165" s="18">
        <f>HYPERLINK("D:\python\英语学习\voices\"&amp;B3165&amp;"_2.mp3","AmE")</f>
        <v/>
      </c>
      <c r="I3165" s="18">
        <f>HYPERLINK("http://dict.youdao.com/w/"&amp;B3165,"有道")</f>
        <v/>
      </c>
    </row>
    <row r="3166">
      <c r="B3166" s="1" t="inlineStr">
        <is>
          <t>retaliation</t>
        </is>
      </c>
      <c r="C3166" s="7">
        <f>"n. 报复；反击；回敬"</f>
        <v/>
      </c>
      <c r="G3166" s="18">
        <f>HYPERLINK("D:\python\英语学习\voices\"&amp;B3166&amp;"_1.mp3","BrE")</f>
        <v/>
      </c>
      <c r="H3166" s="18">
        <f>HYPERLINK("D:\python\英语学习\voices\"&amp;B3166&amp;"_2.mp3","AmE")</f>
        <v/>
      </c>
      <c r="I3166" s="18">
        <f>HYPERLINK("http://dict.youdao.com/w/"&amp;B3166,"有道")</f>
        <v/>
      </c>
    </row>
    <row r="3167">
      <c r="B3167" s="1" t="inlineStr">
        <is>
          <t>eye-popping</t>
        </is>
      </c>
      <c r="C3167" s="7">
        <f>"adj. 使人瞠目的；惊人的"</f>
        <v/>
      </c>
      <c r="G3167" s="18">
        <f>HYPERLINK("D:\python\英语学习\voices\"&amp;B3167&amp;"_1.mp3","BrE")</f>
        <v/>
      </c>
      <c r="H3167" s="18">
        <f>HYPERLINK("D:\python\英语学习\voices\"&amp;B3167&amp;"_2.mp3","AmE")</f>
        <v/>
      </c>
      <c r="I3167" s="18">
        <f>HYPERLINK("http://dict.youdao.com/w/"&amp;B3167,"有道")</f>
        <v/>
      </c>
    </row>
    <row customHeight="1" ht="28.5" r="3168">
      <c r="B3168" s="1" t="inlineStr">
        <is>
          <t>skirmish</t>
        </is>
      </c>
      <c r="C3168" s="7">
        <f>"n. 小冲突，小规模战斗；小争论"&amp;CHAR(10)&amp;"vi. 进行小规模战斗；发生小争论"</f>
        <v/>
      </c>
      <c r="G3168" s="18">
        <f>HYPERLINK("D:\python\英语学习\voices\"&amp;B3168&amp;"_1.mp3","BrE")</f>
        <v/>
      </c>
      <c r="H3168" s="18">
        <f>HYPERLINK("D:\python\英语学习\voices\"&amp;B3168&amp;"_2.mp3","AmE")</f>
        <v/>
      </c>
      <c r="I3168" s="18">
        <f>HYPERLINK("http://dict.youdao.com/w/"&amp;B3168,"有道")</f>
        <v/>
      </c>
    </row>
    <row customHeight="1" ht="99.75" r="3169">
      <c r="B3169" s="1" t="inlineStr">
        <is>
          <t>smash</t>
        </is>
      </c>
      <c r="C3169" s="7">
        <f>"vt. 粉碎；使破产；溃裂；使猛撞；撞击；搞垮（政治集团或体制）"&amp;CHAR(10)&amp;"vi. 粉碎；打碎"&amp;CHAR(10)&amp;"n. 破碎；扣球；冲突；大败；十分走红的歌曲（或电影、戏剧）"&amp;CHAR(10)&amp;"adv. 哗啦一声"&amp;CHAR(10)&amp;"adj. 了不起的；非常轰动的；出色的"</f>
        <v/>
      </c>
      <c r="G3169" s="18">
        <f>HYPERLINK("D:\python\英语学习\voices\"&amp;B3169&amp;"_1.mp3","BrE")</f>
        <v/>
      </c>
      <c r="H3169" s="18">
        <f>HYPERLINK("D:\python\英语学习\voices\"&amp;B3169&amp;"_2.mp3","AmE")</f>
        <v/>
      </c>
      <c r="I3169" s="18">
        <f>HYPERLINK("http://dict.youdao.com/w/"&amp;B3169,"有道")</f>
        <v/>
      </c>
    </row>
    <row customHeight="1" ht="28.5" r="3170">
      <c r="B3170" s="1" t="inlineStr">
        <is>
          <t>reversion</t>
        </is>
      </c>
      <c r="C3170" s="7">
        <f>"n. 逆转；回复；归还；[遗] 隔代遗传；[法] 继承权"</f>
        <v/>
      </c>
      <c r="G3170" s="18">
        <f>HYPERLINK("D:\python\英语学习\voices\"&amp;B3170&amp;"_1.mp3","BrE")</f>
        <v/>
      </c>
      <c r="H3170" s="18">
        <f>HYPERLINK("D:\python\英语学习\voices\"&amp;B3170&amp;"_2.mp3","AmE")</f>
        <v/>
      </c>
      <c r="I3170" s="18">
        <f>HYPERLINK("http://dict.youdao.com/w/"&amp;B3170,"有道")</f>
        <v/>
      </c>
    </row>
    <row customHeight="1" ht="28.5" r="3171">
      <c r="B3171" s="1" t="inlineStr">
        <is>
          <t>spellbound</t>
        </is>
      </c>
      <c r="C3171" s="7">
        <f>"adj. 被咒语所镇住的；出神的；被迷住的；茫然不知所之的"</f>
        <v/>
      </c>
      <c r="G3171" s="18">
        <f>HYPERLINK("D:\python\英语学习\voices\"&amp;B3171&amp;"_1.mp3","BrE")</f>
        <v/>
      </c>
      <c r="H3171" s="18">
        <f>HYPERLINK("D:\python\英语学习\voices\"&amp;B3171&amp;"_2.mp3","AmE")</f>
        <v/>
      </c>
      <c r="I3171" s="18">
        <f>HYPERLINK("http://dict.youdao.com/w/"&amp;B3171,"有道")</f>
        <v/>
      </c>
    </row>
    <row r="3172">
      <c r="B3172" s="1" t="inlineStr">
        <is>
          <t>stigma</t>
        </is>
      </c>
      <c r="C3172" s="7">
        <f>"n. [植] 柱头；耻辱；污名；烙印；特征"</f>
        <v/>
      </c>
      <c r="G3172" s="18">
        <f>HYPERLINK("D:\python\英语学习\voices\"&amp;B3172&amp;"_1.mp3","BrE")</f>
        <v/>
      </c>
      <c r="H3172" s="18">
        <f>HYPERLINK("D:\python\英语学习\voices\"&amp;B3172&amp;"_2.mp3","AmE")</f>
        <v/>
      </c>
      <c r="I3172" s="18">
        <f>HYPERLINK("http://dict.youdao.com/w/"&amp;B3172,"有道")</f>
        <v/>
      </c>
    </row>
    <row r="3173">
      <c r="B3173" s="1" t="inlineStr">
        <is>
          <t>stewardship</t>
        </is>
      </c>
      <c r="C3173" s="7">
        <f>"n. 管理工作；管事人的职位及职责"</f>
        <v/>
      </c>
      <c r="G3173" s="18">
        <f>HYPERLINK("D:\python\英语学习\voices\"&amp;B3173&amp;"_1.mp3","BrE")</f>
        <v/>
      </c>
      <c r="H3173" s="18">
        <f>HYPERLINK("D:\python\英语学习\voices\"&amp;B3173&amp;"_2.mp3","AmE")</f>
        <v/>
      </c>
      <c r="I3173" s="18">
        <f>HYPERLINK("http://dict.youdao.com/w/"&amp;B3173,"有道")</f>
        <v/>
      </c>
    </row>
    <row customHeight="1" ht="99.75" r="3174">
      <c r="B3174" s="1" t="inlineStr">
        <is>
          <t>stroke</t>
        </is>
      </c>
      <c r="C3174" s="7">
        <f>"n. （游泳或划船的）划；中风；（打、击等的）一下；冲程；（成功的）举动；尝试；轻抚"&amp;CHAR(10)&amp;"vt. （用笔等）画；轻抚；轻挪；敲击；划尾桨；划掉；（打字时）击打键盘"&amp;CHAR(10)&amp;"vi. 击球；作尾桨手，指挥划桨；（打字时）击打键盘"</f>
        <v/>
      </c>
      <c r="G3174" s="18">
        <f>HYPERLINK("D:\python\英语学习\voices\"&amp;B3174&amp;"_1.mp3","BrE")</f>
        <v/>
      </c>
      <c r="H3174" s="18">
        <f>HYPERLINK("D:\python\英语学习\voices\"&amp;B3174&amp;"_2.mp3","AmE")</f>
        <v/>
      </c>
      <c r="I3174" s="18">
        <f>HYPERLINK("http://dict.youdao.com/w/"&amp;B3174,"有道")</f>
        <v/>
      </c>
    </row>
    <row r="3175">
      <c r="B3175" s="1" t="inlineStr">
        <is>
          <t>catastrophe</t>
        </is>
      </c>
      <c r="C3175" s="7">
        <f>"n. 大灾难；大祸；惨败"</f>
        <v/>
      </c>
      <c r="G3175" s="18">
        <f>HYPERLINK("D:\python\英语学习\voices\"&amp;B3175&amp;"_1.mp3","BrE")</f>
        <v/>
      </c>
      <c r="H3175" s="18">
        <f>HYPERLINK("D:\python\英语学习\voices\"&amp;B3175&amp;"_2.mp3","AmE")</f>
        <v/>
      </c>
      <c r="I3175" s="18">
        <f>HYPERLINK("http://dict.youdao.com/w/"&amp;B3175,"有道")</f>
        <v/>
      </c>
    </row>
    <row customHeight="1" ht="57" r="3176">
      <c r="B3176" s="1" t="inlineStr">
        <is>
          <t>venture</t>
        </is>
      </c>
      <c r="C3176" s="7">
        <f>"n. 冒险旅行；（有风险的）企业"&amp;CHAR(10)&amp;"v. 敢于冒险；小心地说（或做）；冒着失去……的风险"&amp;CHAR(10)&amp;"n. (Venture) （法）旺蒂尔（人名）"</f>
        <v/>
      </c>
      <c r="F3176">
        <f>"We are a venture with a social mission"</f>
        <v/>
      </c>
      <c r="G3176" s="18">
        <f>HYPERLINK("D:\python\英语学习\voices\"&amp;B3176&amp;"_1.mp3","BrE")</f>
        <v/>
      </c>
      <c r="H3176" s="18">
        <f>HYPERLINK("D:\python\英语学习\voices\"&amp;B3176&amp;"_2.mp3","AmE")</f>
        <v/>
      </c>
      <c r="I3176" s="18">
        <f>HYPERLINK("http://dict.youdao.com/w/"&amp;B3176,"有道")</f>
        <v/>
      </c>
    </row>
    <row r="3177">
      <c r="A3177" s="1" t="inlineStr">
        <is>
          <t>unnecessary</t>
        </is>
      </c>
      <c r="B3177" s="1" t="inlineStr">
        <is>
          <t>velocity</t>
        </is>
      </c>
      <c r="C3177" s="7">
        <f>"n. 【物】速度"</f>
        <v/>
      </c>
      <c r="G3177" s="18">
        <f>HYPERLINK("D:\python\英语学习\voices\"&amp;B3177&amp;"_1.mp3","BrE")</f>
        <v/>
      </c>
      <c r="H3177" s="18">
        <f>HYPERLINK("D:\python\英语学习\voices\"&amp;B3177&amp;"_2.mp3","AmE")</f>
        <v/>
      </c>
      <c r="I3177" s="18">
        <f>HYPERLINK("http://dict.youdao.com/w/"&amp;B3177,"有道")</f>
        <v/>
      </c>
    </row>
    <row r="3178">
      <c r="B3178" s="1" t="inlineStr">
        <is>
          <t>buildup</t>
        </is>
      </c>
      <c r="C3178" s="7">
        <f>"n. 增强；发展；形成；组合；树立名誉"</f>
        <v/>
      </c>
      <c r="G3178" s="18">
        <f>HYPERLINK("D:\python\英语学习\voices\"&amp;B3178&amp;"_1.mp3","BrE")</f>
        <v/>
      </c>
      <c r="H3178" s="18">
        <f>HYPERLINK("D:\python\英语学习\voices\"&amp;B3178&amp;"_2.mp3","AmE")</f>
        <v/>
      </c>
      <c r="I3178" s="18">
        <f>HYPERLINK("http://dict.youdao.com/w/"&amp;B3178,"有道")</f>
        <v/>
      </c>
    </row>
    <row r="3179">
      <c r="B3179" s="1" t="inlineStr">
        <is>
          <t>fetus</t>
        </is>
      </c>
      <c r="C3179" s="7">
        <f>"n. 胎儿，胎"</f>
        <v/>
      </c>
      <c r="G3179" s="18">
        <f>HYPERLINK("D:\python\英语学习\voices\"&amp;B3179&amp;"_1.mp3","BrE")</f>
        <v/>
      </c>
      <c r="H3179" s="18">
        <f>HYPERLINK("D:\python\英语学习\voices\"&amp;B3179&amp;"_2.mp3","AmE")</f>
        <v/>
      </c>
      <c r="I3179" s="18">
        <f>HYPERLINK("http://dict.youdao.com/w/"&amp;B3179,"有道")</f>
        <v/>
      </c>
    </row>
    <row customHeight="1" ht="28.5" r="3180">
      <c r="B3180" s="1" t="inlineStr">
        <is>
          <t>intermediary</t>
        </is>
      </c>
      <c r="C3180" s="7">
        <f>"adj. 中间的；媒介的；中途的"&amp;CHAR(10)&amp;"n. 中间人；仲裁者；调解者；媒介物"</f>
        <v/>
      </c>
      <c r="G3180" s="18">
        <f>HYPERLINK("D:\python\英语学习\voices\"&amp;B3180&amp;"_1.mp3","BrE")</f>
        <v/>
      </c>
      <c r="H3180" s="18">
        <f>HYPERLINK("D:\python\英语学习\voices\"&amp;B3180&amp;"_2.mp3","AmE")</f>
        <v/>
      </c>
      <c r="I3180" s="18">
        <f>HYPERLINK("http://dict.youdao.com/w/"&amp;B3180,"有道")</f>
        <v/>
      </c>
    </row>
    <row customHeight="1" ht="29.1" r="3181">
      <c r="B3181" s="1" t="inlineStr">
        <is>
          <t>windfall</t>
        </is>
      </c>
      <c r="C3181" s="7">
        <f>"n. 意外之财；被风吹落的果子；意外的收获"</f>
        <v/>
      </c>
      <c r="G3181" s="18">
        <f>HYPERLINK("D:\python\英语学习\voices\"&amp;B3181&amp;"_1.mp3","BrE")</f>
        <v/>
      </c>
      <c r="H3181" s="18">
        <f>HYPERLINK("D:\python\英语学习\voices\"&amp;B3181&amp;"_2.mp3","AmE")</f>
        <v/>
      </c>
      <c r="I3181" s="18">
        <f>HYPERLINK("http://dict.youdao.com/w/"&amp;B3181,"有道")</f>
        <v/>
      </c>
    </row>
    <row r="3182">
      <c r="B3182" s="1" t="inlineStr">
        <is>
          <t>abysmal</t>
        </is>
      </c>
      <c r="C3182" s="7">
        <f>"adj. 深不可测的；糟透的；极度的"</f>
        <v/>
      </c>
      <c r="E3182" s="6" t="inlineStr">
        <is>
          <t>极坏的
abysmal failure</t>
        </is>
      </c>
      <c r="G3182" s="18">
        <f>HYPERLINK("D:\python\英语学习\voices\"&amp;B3182&amp;"_1.mp3","BrE")</f>
        <v/>
      </c>
      <c r="H3182" s="18">
        <f>HYPERLINK("D:\python\英语学习\voices\"&amp;B3182&amp;"_2.mp3","AmE")</f>
        <v/>
      </c>
      <c r="I3182" s="18">
        <f>HYPERLINK("http://dict.youdao.com/w/"&amp;B3182,"有道")</f>
        <v/>
      </c>
    </row>
    <row customHeight="1" ht="28.5" r="3183">
      <c r="B3183" s="1" t="inlineStr">
        <is>
          <t>eliminated</t>
        </is>
      </c>
      <c r="C3183" s="7">
        <f>"v. 被淘汰；消除；排除（eliminate的过去分词）"</f>
        <v/>
      </c>
      <c r="G3183" s="18">
        <f>HYPERLINK("D:\python\英语学习\voices\"&amp;B3183&amp;"_1.mp3","BrE")</f>
        <v/>
      </c>
      <c r="H3183" s="18">
        <f>HYPERLINK("D:\python\英语学习\voices\"&amp;B3183&amp;"_2.mp3","AmE")</f>
        <v/>
      </c>
      <c r="I3183" s="18">
        <f>HYPERLINK("http://dict.youdao.com/w/"&amp;B3183,"有道")</f>
        <v/>
      </c>
    </row>
    <row r="3184">
      <c r="B3184" s="1" t="inlineStr">
        <is>
          <t>all-out</t>
        </is>
      </c>
      <c r="C3184" s="7">
        <f>"adj. 全部的；竭尽全力的；毫无保留的"</f>
        <v/>
      </c>
      <c r="G3184" s="18">
        <f>HYPERLINK("D:\python\英语学习\voices\"&amp;B3184&amp;"_1.mp3","BrE")</f>
        <v/>
      </c>
      <c r="H3184" s="18">
        <f>HYPERLINK("D:\python\英语学习\voices\"&amp;B3184&amp;"_2.mp3","AmE")</f>
        <v/>
      </c>
      <c r="I3184" s="18">
        <f>HYPERLINK("http://dict.youdao.com/w/"&amp;B3184,"有道")</f>
        <v/>
      </c>
    </row>
    <row r="3185">
      <c r="B3185" s="1" t="inlineStr">
        <is>
          <t>antagonistic</t>
        </is>
      </c>
      <c r="C3185" s="7">
        <f>"adj. 敌对的；对抗性的；反对的"</f>
        <v/>
      </c>
      <c r="G3185" s="18">
        <f>HYPERLINK("D:\python\英语学习\voices\"&amp;B3185&amp;"_1.mp3","BrE")</f>
        <v/>
      </c>
      <c r="H3185" s="18">
        <f>HYPERLINK("D:\python\英语学习\voices\"&amp;B3185&amp;"_2.mp3","AmE")</f>
        <v/>
      </c>
      <c r="I3185" s="18">
        <f>HYPERLINK("http://dict.youdao.com/w/"&amp;B3185,"有道")</f>
        <v/>
      </c>
    </row>
    <row r="3186">
      <c r="B3186" s="1" t="inlineStr">
        <is>
          <t>apace</t>
        </is>
      </c>
      <c r="C3186" s="7">
        <f>"adv. 飞快地，迅速地；急速地"</f>
        <v/>
      </c>
      <c r="G3186" s="18">
        <f>HYPERLINK("D:\python\英语学习\voices\"&amp;B3186&amp;"_1.mp3","BrE")</f>
        <v/>
      </c>
      <c r="H3186" s="18">
        <f>HYPERLINK("D:\python\英语学习\voices\"&amp;B3186&amp;"_2.mp3","AmE")</f>
        <v/>
      </c>
      <c r="I3186" s="18">
        <f>HYPERLINK("http://dict.youdao.com/w/"&amp;B3186,"有道")</f>
        <v/>
      </c>
    </row>
    <row customHeight="1" ht="28.5" r="3187">
      <c r="B3187" s="1" t="inlineStr">
        <is>
          <t>appalling</t>
        </is>
      </c>
      <c r="C3187" s="7">
        <f>"adj. 可怕的；令人震惊的"&amp;CHAR(10)&amp;"v. 使惊愕；惊吓（appal的ing形式）"</f>
        <v/>
      </c>
      <c r="G3187" s="18">
        <f>HYPERLINK("D:\python\英语学习\voices\"&amp;B3187&amp;"_1.mp3","BrE")</f>
        <v/>
      </c>
      <c r="H3187" s="18">
        <f>HYPERLINK("D:\python\英语学习\voices\"&amp;B3187&amp;"_2.mp3","AmE")</f>
        <v/>
      </c>
      <c r="I3187" s="18">
        <f>HYPERLINK("http://dict.youdao.com/w/"&amp;B3187,"有道")</f>
        <v/>
      </c>
    </row>
    <row r="3188">
      <c r="B3188" s="1" t="inlineStr">
        <is>
          <t>astute</t>
        </is>
      </c>
      <c r="C3188" s="7">
        <f>"adj. 机敏的；狡猾的，诡计多端的"</f>
        <v/>
      </c>
      <c r="G3188" s="18">
        <f>HYPERLINK("D:\python\英语学习\voices\"&amp;B3188&amp;"_1.mp3","BrE")</f>
        <v/>
      </c>
      <c r="H3188" s="18">
        <f>HYPERLINK("D:\python\英语学习\voices\"&amp;B3188&amp;"_2.mp3","AmE")</f>
        <v/>
      </c>
      <c r="I3188" s="18">
        <f>HYPERLINK("http://dict.youdao.com/w/"&amp;B3188,"有道")</f>
        <v/>
      </c>
    </row>
    <row customHeight="1" ht="28.5" r="3189">
      <c r="A3189" t="inlineStr">
        <is>
          <t>practice</t>
        </is>
      </c>
      <c r="B3189" s="1" t="inlineStr">
        <is>
          <t>relinquish</t>
        </is>
      </c>
      <c r="C3189" s="7">
        <f>"vt. 放弃；放手；让渡"</f>
        <v/>
      </c>
      <c r="E3189" s="16" t="inlineStr">
        <is>
          <t>尤指不情愿</t>
        </is>
      </c>
      <c r="G3189" s="18">
        <f>HYPERLINK("D:\python\英语学习\voices\"&amp;B3189&amp;"_1.mp3","BrE")</f>
        <v/>
      </c>
      <c r="H3189" s="18">
        <f>HYPERLINK("D:\python\英语学习\voices\"&amp;B3189&amp;"_2.mp3","AmE")</f>
        <v/>
      </c>
      <c r="I3189" s="18">
        <f>HYPERLINK("http://dict.youdao.com/w/"&amp;B3189,"有道")</f>
        <v/>
      </c>
    </row>
    <row customHeight="1" ht="28.5" r="3190">
      <c r="B3190" s="1" t="inlineStr">
        <is>
          <t>breezy</t>
        </is>
      </c>
      <c r="C3190" s="7">
        <f>"adj. 有微风的；轻松愉快的；通风好的；活泼的"</f>
        <v/>
      </c>
      <c r="G3190" s="18">
        <f>HYPERLINK("D:\python\英语学习\voices\"&amp;B3190&amp;"_1.mp3","BrE")</f>
        <v/>
      </c>
      <c r="H3190" s="18">
        <f>HYPERLINK("D:\python\英语学习\voices\"&amp;B3190&amp;"_2.mp3","AmE")</f>
        <v/>
      </c>
      <c r="I3190" s="18">
        <f>HYPERLINK("http://dict.youdao.com/w/"&amp;B3190,"有道")</f>
        <v/>
      </c>
    </row>
    <row customHeight="1" ht="42.75" r="3191">
      <c r="B3191" s="1" t="inlineStr">
        <is>
          <t>cameo</t>
        </is>
      </c>
      <c r="C3191" s="7">
        <f>"n. （影视剧中的）配角；刻有浮雕的宝石或贝壳；小品文"&amp;CHAR(10)&amp;"n. (Cameo)人名；(西、意)卡梅奥"</f>
        <v/>
      </c>
      <c r="G3191" s="18">
        <f>HYPERLINK("D:\python\英语学习\voices\"&amp;B3191&amp;"_1.mp3","BrE")</f>
        <v/>
      </c>
      <c r="H3191" s="18">
        <f>HYPERLINK("D:\python\英语学习\voices\"&amp;B3191&amp;"_2.mp3","AmE")</f>
        <v/>
      </c>
      <c r="I3191" s="18">
        <f>HYPERLINK("http://dict.youdao.com/w/"&amp;B3191,"有道")</f>
        <v/>
      </c>
    </row>
    <row customHeight="1" ht="28.5" r="3192">
      <c r="B3192" s="1" t="inlineStr">
        <is>
          <t>canny</t>
        </is>
      </c>
      <c r="C3192" s="7">
        <f>"adj. 精明的，谨慎的；节约的"&amp;CHAR(10)&amp;"n. (Canny)人名；(英)坎尼"</f>
        <v/>
      </c>
      <c r="G3192" s="18">
        <f>HYPERLINK("D:\python\英语学习\voices\"&amp;B3192&amp;"_1.mp3","BrE")</f>
        <v/>
      </c>
      <c r="H3192" s="18">
        <f>HYPERLINK("D:\python\英语学习\voices\"&amp;B3192&amp;"_2.mp3","AmE")</f>
        <v/>
      </c>
      <c r="I3192" s="18">
        <f>HYPERLINK("http://dict.youdao.com/w/"&amp;B3192,"有道")</f>
        <v/>
      </c>
    </row>
    <row customHeight="1" ht="28.5" r="3193">
      <c r="A3193" s="1" t="inlineStr">
        <is>
          <t>practice</t>
        </is>
      </c>
      <c r="B3193" s="1" t="inlineStr">
        <is>
          <t>shun</t>
        </is>
      </c>
      <c r="C3193" s="7">
        <f>"vt. 避开，避免；回避"&amp;CHAR(10)&amp;"n. (Shun)人名；(日)春(姓)"</f>
        <v/>
      </c>
      <c r="E3193" s="10" t="inlineStr">
        <is>
          <t>规避</t>
        </is>
      </c>
      <c r="G3193" s="18">
        <f>HYPERLINK("D:\python\英语学习\voices\"&amp;B3193&amp;"_1.mp3","BrE")</f>
        <v/>
      </c>
      <c r="H3193" s="18">
        <f>HYPERLINK("D:\python\英语学习\voices\"&amp;B3193&amp;"_2.mp3","AmE")</f>
        <v/>
      </c>
      <c r="I3193" s="18">
        <f>HYPERLINK("http://dict.youdao.com/w/"&amp;B3193,"有道")</f>
        <v/>
      </c>
    </row>
    <row r="3194">
      <c r="B3194" s="1" t="inlineStr">
        <is>
          <t>comely</t>
        </is>
      </c>
      <c r="C3194" s="7">
        <f>"adj. 清秀的，标致的"</f>
        <v/>
      </c>
      <c r="G3194" s="18">
        <f>HYPERLINK("D:\python\英语学习\voices\"&amp;B3194&amp;"_1.mp3","BrE")</f>
        <v/>
      </c>
      <c r="H3194" s="18">
        <f>HYPERLINK("D:\python\英语学习\voices\"&amp;B3194&amp;"_2.mp3","AmE")</f>
        <v/>
      </c>
      <c r="I3194" s="18">
        <f>HYPERLINK("http://dict.youdao.com/w/"&amp;B3194,"有道")</f>
        <v/>
      </c>
    </row>
    <row r="3195">
      <c r="B3195" s="1" t="inlineStr">
        <is>
          <t>consecutive</t>
        </is>
      </c>
      <c r="C3195" s="7">
        <f>"adj. 连贯的；连续不断的"</f>
        <v/>
      </c>
      <c r="G3195" s="18">
        <f>HYPERLINK("D:\python\英语学习\voices\"&amp;B3195&amp;"_1.mp3","BrE")</f>
        <v/>
      </c>
      <c r="H3195" s="18">
        <f>HYPERLINK("D:\python\英语学习\voices\"&amp;B3195&amp;"_2.mp3","AmE")</f>
        <v/>
      </c>
      <c r="I3195" s="18">
        <f>HYPERLINK("http://dict.youdao.com/w/"&amp;B3195,"有道")</f>
        <v/>
      </c>
    </row>
    <row customHeight="1" ht="28.5" r="3196">
      <c r="B3196" s="1" t="inlineStr">
        <is>
          <t>cutthroat</t>
        </is>
      </c>
      <c r="C3196" s="7">
        <f>"adj. 残酷的；杀人的；剧烈的"&amp;CHAR(10)&amp;"n. 谋杀者；凶手"</f>
        <v/>
      </c>
      <c r="G3196" s="18">
        <f>HYPERLINK("D:\python\英语学习\voices\"&amp;B3196&amp;"_1.mp3","BrE")</f>
        <v/>
      </c>
      <c r="H3196" s="18">
        <f>HYPERLINK("D:\python\英语学习\voices\"&amp;B3196&amp;"_2.mp3","AmE")</f>
        <v/>
      </c>
      <c r="I3196" s="18">
        <f>HYPERLINK("http://dict.youdao.com/w/"&amp;B3196,"有道")</f>
        <v/>
      </c>
    </row>
    <row r="3197">
      <c r="B3197" s="1" t="inlineStr">
        <is>
          <t>cynical</t>
        </is>
      </c>
      <c r="C3197" s="7">
        <f>"adj. 愤世嫉俗的；冷嘲的"</f>
        <v/>
      </c>
      <c r="G3197" s="18">
        <f>HYPERLINK("D:\python\英语学习\voices\"&amp;B3197&amp;"_1.mp3","BrE")</f>
        <v/>
      </c>
      <c r="H3197" s="18">
        <f>HYPERLINK("D:\python\英语学习\voices\"&amp;B3197&amp;"_2.mp3","AmE")</f>
        <v/>
      </c>
      <c r="I3197" s="18">
        <f>HYPERLINK("http://dict.youdao.com/w/"&amp;B3197,"有道")</f>
        <v/>
      </c>
    </row>
    <row customHeight="1" ht="57" r="3198">
      <c r="B3198" s="1" t="inlineStr">
        <is>
          <t>deadpan</t>
        </is>
      </c>
      <c r="C3198" s="7">
        <f>"adj. 面无表情的；不动声色的；故作严肃的"&amp;CHAR(10)&amp;"adv. 面无表情地；不动声色地；故作严肃地"&amp;CHAR(10)&amp;"v. 面无表情地表达、表演或行动"&amp;CHAR(10)&amp;"n. 毫无表情的脸；面无表情的人"</f>
        <v/>
      </c>
      <c r="G3198" s="18">
        <f>HYPERLINK("D:\python\英语学习\voices\"&amp;B3198&amp;"_1.mp3","BrE")</f>
        <v/>
      </c>
      <c r="H3198" s="18">
        <f>HYPERLINK("D:\python\英语学习\voices\"&amp;B3198&amp;"_2.mp3","AmE")</f>
        <v/>
      </c>
      <c r="I3198" s="18">
        <f>HYPERLINK("http://dict.youdao.com/w/"&amp;B3198,"有道")</f>
        <v/>
      </c>
    </row>
    <row customHeight="1" ht="28.5" r="3199">
      <c r="B3199" s="1" t="inlineStr">
        <is>
          <t>demure</t>
        </is>
      </c>
      <c r="C3199" s="7">
        <f>"adj. 端庄的；娴静的；严肃的；假装正直的"&amp;CHAR(10)&amp;"n. (Demure)人名；(法)德米尔"</f>
        <v/>
      </c>
      <c r="D3199" s="16" t="inlineStr">
        <is>
          <t>doubt怀疑 dubiety可疑物怀疑</t>
        </is>
      </c>
      <c r="G3199" s="18">
        <f>HYPERLINK("D:\python\英语学习\voices\"&amp;B3199&amp;"_1.mp3","BrE")</f>
        <v/>
      </c>
      <c r="H3199" s="18">
        <f>HYPERLINK("D:\python\英语学习\voices\"&amp;B3199&amp;"_2.mp3","AmE")</f>
        <v/>
      </c>
      <c r="I3199" s="18">
        <f>HYPERLINK("http://dict.youdao.com/w/"&amp;B3199,"有道")</f>
        <v/>
      </c>
    </row>
    <row r="3200">
      <c r="B3200" s="1" t="inlineStr">
        <is>
          <t>quartet</t>
        </is>
      </c>
      <c r="C3200" s="7">
        <f>"n. 四重奏；四重唱；四件一套"</f>
        <v/>
      </c>
      <c r="G3200" s="18">
        <f>HYPERLINK("D:\python\英语学习\voices\"&amp;B3200&amp;"_1.mp3","BrE")</f>
        <v/>
      </c>
      <c r="H3200" s="18">
        <f>HYPERLINK("D:\python\英语学习\voices\"&amp;B3200&amp;"_2.mp3","AmE")</f>
        <v/>
      </c>
      <c r="I3200" s="18">
        <f>HYPERLINK("http://dict.youdao.com/w/"&amp;B3200,"有道")</f>
        <v/>
      </c>
    </row>
    <row customHeight="1" ht="29.1" r="3201">
      <c r="B3201" s="1" t="inlineStr">
        <is>
          <t>dubious</t>
        </is>
      </c>
      <c r="C3201" s="7">
        <f>"adj. 可疑的；暧昧的；无把握的；半信半疑的"</f>
        <v/>
      </c>
      <c r="G3201" s="18">
        <f>HYPERLINK("D:\python\英语学习\voices\"&amp;B3201&amp;"_1.mp3","BrE")</f>
        <v/>
      </c>
      <c r="H3201" s="18">
        <f>HYPERLINK("D:\python\英语学习\voices\"&amp;B3201&amp;"_2.mp3","AmE")</f>
        <v/>
      </c>
      <c r="I3201" s="18">
        <f>HYPERLINK("http://dict.youdao.com/w/"&amp;B3201,"有道")</f>
        <v/>
      </c>
    </row>
    <row r="3202">
      <c r="B3202" s="1" t="inlineStr">
        <is>
          <t>surrealism</t>
        </is>
      </c>
      <c r="C3202" s="7">
        <f>"n. 超现实主义"</f>
        <v/>
      </c>
      <c r="G3202" s="18">
        <f>HYPERLINK("D:\python\英语学习\voices\"&amp;B3202&amp;"_1.mp3","BrE")</f>
        <v/>
      </c>
      <c r="H3202" s="18">
        <f>HYPERLINK("D:\python\英语学习\voices\"&amp;B3202&amp;"_2.mp3","AmE")</f>
        <v/>
      </c>
      <c r="I3202" s="18">
        <f>HYPERLINK("http://dict.youdao.com/w/"&amp;B3202,"有道")</f>
        <v/>
      </c>
    </row>
    <row customHeight="1" ht="42.75" r="3203">
      <c r="B3203" s="1" t="inlineStr">
        <is>
          <t>edgy</t>
        </is>
      </c>
      <c r="C3203" s="7">
        <f>"adj. 尖利的；紧张的，烦躁不安的；（演奏或文字作品）尖锐的，强烈的；（电影、书籍等）激动人心的；前卫的，尖端的，先进的"</f>
        <v/>
      </c>
      <c r="E3203" s="6" t="inlineStr">
        <is>
          <t>edge</t>
        </is>
      </c>
      <c r="G3203" s="18">
        <f>HYPERLINK("D:\python\英语学习\voices\"&amp;B3203&amp;"_1.mp3","BrE")</f>
        <v/>
      </c>
      <c r="H3203" s="18">
        <f>HYPERLINK("D:\python\英语学习\voices\"&amp;B3203&amp;"_2.mp3","AmE")</f>
        <v/>
      </c>
      <c r="I3203" s="18">
        <f>HYPERLINK("http://dict.youdao.com/w/"&amp;B3203,"有道")</f>
        <v/>
      </c>
    </row>
    <row r="3204">
      <c r="B3204" s="1" t="inlineStr">
        <is>
          <t>eerily</t>
        </is>
      </c>
      <c r="C3204" s="7">
        <f>"adv. 怪诞地；奇异地；可怕地"</f>
        <v/>
      </c>
      <c r="G3204" s="18">
        <f>HYPERLINK("D:\python\英语学习\voices\"&amp;B3204&amp;"_1.mp3","BrE")</f>
        <v/>
      </c>
      <c r="H3204" s="18">
        <f>HYPERLINK("D:\python\英语学习\voices\"&amp;B3204&amp;"_2.mp3","AmE")</f>
        <v/>
      </c>
      <c r="I3204" s="18">
        <f>HYPERLINK("http://dict.youdao.com/w/"&amp;B3204,"有道")</f>
        <v/>
      </c>
    </row>
    <row customHeight="1" ht="28.5" r="3205">
      <c r="B3205" s="1" t="inlineStr">
        <is>
          <t>engaging</t>
        </is>
      </c>
      <c r="C3205" s="7">
        <f>"adj. 迷人的"&amp;CHAR(10)&amp;"v. 参加（engage的ing形式）；保证；雇用"</f>
        <v/>
      </c>
      <c r="G3205" s="18">
        <f>HYPERLINK("D:\python\英语学习\voices\"&amp;B3205&amp;"_1.mp3","BrE")</f>
        <v/>
      </c>
      <c r="H3205" s="18">
        <f>HYPERLINK("D:\python\英语学习\voices\"&amp;B3205&amp;"_2.mp3","AmE")</f>
        <v/>
      </c>
      <c r="I3205" s="18">
        <f>HYPERLINK("http://dict.youdao.com/w/"&amp;B3205,"有道")</f>
        <v/>
      </c>
    </row>
    <row customHeight="1" ht="28.5" r="3206">
      <c r="B3206" s="1" t="inlineStr">
        <is>
          <t>engrossing</t>
        </is>
      </c>
      <c r="C3206" s="7">
        <f>"adj. 引人入胜的"&amp;CHAR(10)&amp;"v. 使全神贯注（engross的ing形式）"</f>
        <v/>
      </c>
      <c r="G3206" s="18">
        <f>HYPERLINK("D:\python\英语学习\voices\"&amp;B3206&amp;"_1.mp3","BrE")</f>
        <v/>
      </c>
      <c r="H3206" s="18">
        <f>HYPERLINK("D:\python\英语学习\voices\"&amp;B3206&amp;"_2.mp3","AmE")</f>
        <v/>
      </c>
      <c r="I3206" s="18">
        <f>HYPERLINK("http://dict.youdao.com/w/"&amp;B3206,"有道")</f>
        <v/>
      </c>
    </row>
    <row customHeight="1" ht="28.5" r="3207">
      <c r="B3207" s="1" t="inlineStr">
        <is>
          <t>feisty</t>
        </is>
      </c>
      <c r="C3207" s="7">
        <f>"adj. 活跃的；好争吵的；烦躁不安的；坚决而据理力争的"</f>
        <v/>
      </c>
      <c r="G3207" s="18">
        <f>HYPERLINK("D:\python\英语学习\voices\"&amp;B3207&amp;"_1.mp3","BrE")</f>
        <v/>
      </c>
      <c r="H3207" s="18">
        <f>HYPERLINK("D:\python\英语学习\voices\"&amp;B3207&amp;"_2.mp3","AmE")</f>
        <v/>
      </c>
      <c r="I3207" s="18">
        <f>HYPERLINK("http://dict.youdao.com/w/"&amp;B3207,"有道")</f>
        <v/>
      </c>
    </row>
    <row r="3208">
      <c r="B3208" s="1" t="inlineStr">
        <is>
          <t>fickle</t>
        </is>
      </c>
      <c r="C3208" s="7">
        <f>"adj. 浮躁的；易变的；变幻无常的"</f>
        <v/>
      </c>
      <c r="G3208" s="18">
        <f>HYPERLINK("D:\python\英语学习\voices\"&amp;B3208&amp;"_1.mp3","BrE")</f>
        <v/>
      </c>
      <c r="H3208" s="18">
        <f>HYPERLINK("D:\python\英语学习\voices\"&amp;B3208&amp;"_2.mp3","AmE")</f>
        <v/>
      </c>
      <c r="I3208" s="18">
        <f>HYPERLINK("http://dict.youdao.com/w/"&amp;B3208,"有道")</f>
        <v/>
      </c>
    </row>
    <row r="3209">
      <c r="B3209" s="1" t="inlineStr">
        <is>
          <t>grass-root</t>
        </is>
      </c>
      <c r="C3209" s="7">
        <f>"草根"</f>
        <v/>
      </c>
      <c r="G3209" s="18">
        <f>HYPERLINK("D:\python\英语学习\voices\"&amp;B3209&amp;"_1.mp3","BrE")</f>
        <v/>
      </c>
      <c r="H3209" s="18">
        <f>HYPERLINK("D:\python\英语学习\voices\"&amp;B3209&amp;"_2.mp3","AmE")</f>
        <v/>
      </c>
      <c r="I3209" s="18">
        <f>HYPERLINK("http://dict.youdao.com/w/"&amp;B3209,"有道")</f>
        <v/>
      </c>
    </row>
    <row customHeight="1" ht="42.75" r="3210">
      <c r="B3210" s="1" t="inlineStr">
        <is>
          <t>impromptu</t>
        </is>
      </c>
      <c r="C3210" s="7">
        <f>"adj. 即兴的，即席的"&amp;CHAR(10)&amp;"n. 即兴曲；即席演出"&amp;CHAR(10)&amp;"adv. 即兴地，即席地"</f>
        <v/>
      </c>
      <c r="G3210" s="18">
        <f>HYPERLINK("D:\python\英语学习\voices\"&amp;B3210&amp;"_1.mp3","BrE")</f>
        <v/>
      </c>
      <c r="H3210" s="18">
        <f>HYPERLINK("D:\python\英语学习\voices\"&amp;B3210&amp;"_2.mp3","AmE")</f>
        <v/>
      </c>
      <c r="I3210" s="18">
        <f>HYPERLINK("http://dict.youdao.com/w/"&amp;B3210,"有道")</f>
        <v/>
      </c>
    </row>
    <row r="3211">
      <c r="B3211" s="1" t="inlineStr">
        <is>
          <t>invincible</t>
        </is>
      </c>
      <c r="C3211" s="7">
        <f>"adj. 无敌的；不能征服的"</f>
        <v/>
      </c>
      <c r="G3211" s="18">
        <f>HYPERLINK("D:\python\英语学习\voices\"&amp;B3211&amp;"_1.mp3","BrE")</f>
        <v/>
      </c>
      <c r="H3211" s="18">
        <f>HYPERLINK("D:\python\英语学习\voices\"&amp;B3211&amp;"_2.mp3","AmE")</f>
        <v/>
      </c>
      <c r="I3211" s="18">
        <f>HYPERLINK("http://dict.youdao.com/w/"&amp;B3211,"有道")</f>
        <v/>
      </c>
    </row>
    <row customHeight="1" ht="42.75" r="3212">
      <c r="B3212" s="1" t="inlineStr">
        <is>
          <t>lackluster</t>
        </is>
      </c>
      <c r="C3212" s="7">
        <f>"adj. 无光泽的；无趣味的；单调的；枯燥乏味的"&amp;CHAR(10)&amp;"n. 无光泽；黯淡"</f>
        <v/>
      </c>
      <c r="G3212" s="18">
        <f>HYPERLINK("D:\python\英语学习\voices\"&amp;B3212&amp;"_1.mp3","BrE")</f>
        <v/>
      </c>
      <c r="H3212" s="18">
        <f>HYPERLINK("D:\python\英语学习\voices\"&amp;B3212&amp;"_2.mp3","AmE")</f>
        <v/>
      </c>
      <c r="I3212" s="18">
        <f>HYPERLINK("http://dict.youdao.com/w/"&amp;B3212,"有道")</f>
        <v/>
      </c>
    </row>
    <row r="3213">
      <c r="B3213" s="1" t="inlineStr">
        <is>
          <t>orphanage</t>
        </is>
      </c>
      <c r="C3213" s="7">
        <f>"n. 孤儿院；孤儿身份"</f>
        <v/>
      </c>
      <c r="G3213" s="18">
        <f>HYPERLINK("D:\python\英语学习\voices\"&amp;B3213&amp;"_1.mp3","BrE")</f>
        <v/>
      </c>
      <c r="H3213" s="18">
        <f>HYPERLINK("D:\python\英语学习\voices\"&amp;B3213&amp;"_2.mp3","AmE")</f>
        <v/>
      </c>
      <c r="I3213" s="18">
        <f>HYPERLINK("http://dict.youdao.com/w/"&amp;B3213,"有道")</f>
        <v/>
      </c>
    </row>
    <row customHeight="1" ht="71.25" r="3214">
      <c r="B3214" s="1" t="inlineStr">
        <is>
          <t>maverick</t>
        </is>
      </c>
      <c r="C3214" s="7">
        <f>"n. 没打烙印的动物；持不同意见的人"&amp;CHAR(10)&amp;"vt. 用不正当手段获取"&amp;CHAR(10)&amp;"vi. 迷途；背离"&amp;CHAR(10)&amp;"adj. 未打烙印的；行为不合常规的；特立独行的"</f>
        <v/>
      </c>
      <c r="G3214" s="18">
        <f>HYPERLINK("D:\python\英语学习\voices\"&amp;B3214&amp;"_1.mp3","BrE")</f>
        <v/>
      </c>
      <c r="H3214" s="18">
        <f>HYPERLINK("D:\python\英语学习\voices\"&amp;B3214&amp;"_2.mp3","AmE")</f>
        <v/>
      </c>
      <c r="I3214" s="18">
        <f>HYPERLINK("http://dict.youdao.com/w/"&amp;B3214,"有道")</f>
        <v/>
      </c>
    </row>
    <row r="3215">
      <c r="B3215" s="1" t="inlineStr">
        <is>
          <t>microscopic</t>
        </is>
      </c>
      <c r="C3215" s="7">
        <f>"adj. 微观的；用显微镜可见的"</f>
        <v/>
      </c>
      <c r="G3215" s="18">
        <f>HYPERLINK("D:\python\英语学习\voices\"&amp;B3215&amp;"_1.mp3","BrE")</f>
        <v/>
      </c>
      <c r="H3215" s="18">
        <f>HYPERLINK("D:\python\英语学习\voices\"&amp;B3215&amp;"_2.mp3","AmE")</f>
        <v/>
      </c>
      <c r="I3215" s="18">
        <f>HYPERLINK("http://dict.youdao.com/w/"&amp;B3215,"有道")</f>
        <v/>
      </c>
    </row>
    <row customHeight="1" ht="29.1" r="3216">
      <c r="A3216" s="1" t="inlineStr">
        <is>
          <t>practice</t>
        </is>
      </c>
      <c r="B3216" s="1" t="inlineStr">
        <is>
          <t>topple</t>
        </is>
      </c>
      <c r="C3216" s="7">
        <f>"vi. 倾倒；倒塌；摇摇欲坠"&amp;CHAR(10)&amp;"vt. 推翻；颠覆；使倒塌"&amp;CHAR(10)&amp;"n. (Topple)人名；(英)托佩尔"</f>
        <v/>
      </c>
      <c r="G3216" s="18">
        <f>HYPERLINK("D:\python\英语学习\voices\"&amp;B3216&amp;"_1.mp3","BrE")</f>
        <v/>
      </c>
      <c r="H3216" s="18">
        <f>HYPERLINK("D:\python\英语学习\voices\"&amp;B3216&amp;"_2.mp3","AmE")</f>
        <v/>
      </c>
      <c r="I3216" s="18">
        <f>HYPERLINK("http://dict.youdao.com/w/"&amp;B3216,"有道")</f>
        <v/>
      </c>
    </row>
    <row customHeight="1" ht="42.75" r="3217">
      <c r="A3217" s="1" t="inlineStr">
        <is>
          <t>practice</t>
        </is>
      </c>
      <c r="B3217" s="1" t="inlineStr">
        <is>
          <t>cult</t>
        </is>
      </c>
      <c r="C3217" s="7">
        <f>"n. 狂热；异教团体；宗教信仰；膜拜仪式；时髦的人（或事物）；信徒"&amp;CHAR(10)&amp;"adj. 受特定群体欢迎的"</f>
        <v/>
      </c>
      <c r="G3217" s="18">
        <f>HYPERLINK("D:\python\英语学习\voices\"&amp;B3217&amp;"_1.mp3","BrE")</f>
        <v/>
      </c>
      <c r="H3217" s="18">
        <f>HYPERLINK("D:\python\英语学习\voices\"&amp;B3217&amp;"_2.mp3","AmE")</f>
        <v/>
      </c>
      <c r="I3217" s="18">
        <f>HYPERLINK("http://dict.youdao.com/w/"&amp;B3217,"有道")</f>
        <v/>
      </c>
    </row>
    <row r="3218">
      <c r="B3218" s="1" t="inlineStr">
        <is>
          <t>no-holds-barred</t>
        </is>
      </c>
      <c r="C3218" s="7">
        <f>"adj. 无拘无束；没有任何限制的"</f>
        <v/>
      </c>
      <c r="G3218" s="18">
        <f>HYPERLINK("D:\python\英语学习\voices\"&amp;B3218&amp;"_1.mp3","BrE")</f>
        <v/>
      </c>
      <c r="H3218" s="18">
        <f>HYPERLINK("D:\python\英语学习\voices\"&amp;B3218&amp;"_2.mp3","AmE")</f>
        <v/>
      </c>
      <c r="I3218" s="18">
        <f>HYPERLINK("http://dict.youdao.com/w/"&amp;B3218,"有道")</f>
        <v/>
      </c>
    </row>
    <row customHeight="1" ht="29.1" r="3219">
      <c r="B3219" s="1" t="inlineStr">
        <is>
          <t>oblivious</t>
        </is>
      </c>
      <c r="C3219" s="7">
        <f>"adj. 遗忘的；健忘的；不注意的；不知道的"</f>
        <v/>
      </c>
      <c r="E3219" s="6" t="inlineStr">
        <is>
          <t>obvious</t>
        </is>
      </c>
      <c r="G3219" s="18">
        <f>HYPERLINK("D:\python\英语学习\voices\"&amp;B3219&amp;"_1.mp3","BrE")</f>
        <v/>
      </c>
      <c r="H3219" s="18">
        <f>HYPERLINK("D:\python\英语学习\voices\"&amp;B3219&amp;"_2.mp3","AmE")</f>
        <v/>
      </c>
      <c r="I3219" s="18">
        <f>HYPERLINK("http://dict.youdao.com/w/"&amp;B3219,"有道")</f>
        <v/>
      </c>
    </row>
    <row r="3220">
      <c r="B3220" s="1" t="inlineStr">
        <is>
          <t>hallucination</t>
        </is>
      </c>
      <c r="C3220" s="7">
        <f>"n. 幻觉，幻想；错觉"</f>
        <v/>
      </c>
      <c r="G3220" s="18">
        <f>HYPERLINK("D:\python\英语学习\voices\"&amp;B3220&amp;"_1.mp3","BrE")</f>
        <v/>
      </c>
      <c r="H3220" s="18">
        <f>HYPERLINK("D:\python\英语学习\voices\"&amp;B3220&amp;"_2.mp3","AmE")</f>
        <v/>
      </c>
      <c r="I3220" s="18">
        <f>HYPERLINK("http://dict.youdao.com/w/"&amp;B3220,"有道")</f>
        <v/>
      </c>
    </row>
    <row customHeight="1" ht="28.5" r="3221">
      <c r="B3221" s="1" t="inlineStr">
        <is>
          <t>psychotic</t>
        </is>
      </c>
      <c r="C3221" s="7">
        <f>"adj. 精神病的"&amp;CHAR(10)&amp;"n. 精神病患者；疯子"</f>
        <v/>
      </c>
      <c r="G3221" s="18">
        <f>HYPERLINK("D:\python\英语学习\voices\"&amp;B3221&amp;"_1.mp3","BrE")</f>
        <v/>
      </c>
      <c r="H3221" s="18">
        <f>HYPERLINK("D:\python\英语学习\voices\"&amp;B3221&amp;"_2.mp3","AmE")</f>
        <v/>
      </c>
      <c r="I3221" s="18">
        <f>HYPERLINK("http://dict.youdao.com/w/"&amp;B3221,"有道")</f>
        <v/>
      </c>
    </row>
    <row r="3222">
      <c r="B3222" s="1" t="inlineStr">
        <is>
          <t>obvious</t>
        </is>
      </c>
      <c r="C3222" s="7">
        <f>"adj. 明显的；显著的；平淡无奇的"</f>
        <v/>
      </c>
      <c r="G3222" s="18">
        <f>HYPERLINK("D:\python\英语学习\voices\"&amp;B3222&amp;"_1.mp3","BrE")</f>
        <v/>
      </c>
      <c r="H3222" s="18">
        <f>HYPERLINK("D:\python\英语学习\voices\"&amp;B3222&amp;"_2.mp3","AmE")</f>
        <v/>
      </c>
      <c r="I3222" s="18">
        <f>HYPERLINK("http://dict.youdao.com/w/"&amp;B3222,"有道")</f>
        <v/>
      </c>
    </row>
    <row r="3223">
      <c r="B3223" s="1" t="inlineStr">
        <is>
          <t>palatable</t>
        </is>
      </c>
      <c r="C3223" s="7">
        <f>"adj. 美味的，可口的；愉快的"</f>
        <v/>
      </c>
      <c r="G3223" s="18">
        <f>HYPERLINK("D:\python\英语学习\voices\"&amp;B3223&amp;"_1.mp3","BrE")</f>
        <v/>
      </c>
      <c r="H3223" s="18">
        <f>HYPERLINK("D:\python\英语学习\voices\"&amp;B3223&amp;"_2.mp3","AmE")</f>
        <v/>
      </c>
      <c r="I3223" s="18">
        <f>HYPERLINK("http://dict.youdao.com/w/"&amp;B3223,"有道")</f>
        <v/>
      </c>
    </row>
    <row r="3224">
      <c r="B3224" s="1" t="inlineStr">
        <is>
          <t>ostensible</t>
        </is>
      </c>
      <c r="C3224" s="7">
        <f>"adj. 表面的；假装的"</f>
        <v/>
      </c>
      <c r="G3224" s="18">
        <f>HYPERLINK("D:\python\英语学习\voices\"&amp;B3224&amp;"_1.mp3","BrE")</f>
        <v/>
      </c>
      <c r="H3224" s="18">
        <f>HYPERLINK("D:\python\英语学习\voices\"&amp;B3224&amp;"_2.mp3","AmE")</f>
        <v/>
      </c>
      <c r="I3224" s="18">
        <f>HYPERLINK("http://dict.youdao.com/w/"&amp;B3224,"有道")</f>
        <v/>
      </c>
    </row>
    <row customHeight="1" ht="29.1" r="3225">
      <c r="B3225" s="1" t="inlineStr">
        <is>
          <t>paltry</t>
        </is>
      </c>
      <c r="C3225" s="7">
        <f>"adj. 不足取的；无价值的；琐碎的；卑鄙的"</f>
        <v/>
      </c>
      <c r="G3225" s="18">
        <f>HYPERLINK("D:\python\英语学习\voices\"&amp;B3225&amp;"_1.mp3","BrE")</f>
        <v/>
      </c>
      <c r="H3225" s="18">
        <f>HYPERLINK("D:\python\英语学习\voices\"&amp;B3225&amp;"_2.mp3","AmE")</f>
        <v/>
      </c>
      <c r="I3225" s="18">
        <f>HYPERLINK("http://dict.youdao.com/w/"&amp;B3225,"有道")</f>
        <v/>
      </c>
    </row>
    <row r="3226">
      <c r="B3226" s="1" t="inlineStr">
        <is>
          <t>pastry</t>
        </is>
      </c>
      <c r="C3226" s="7">
        <f>"n. 油酥点心；面粉糕饼"</f>
        <v/>
      </c>
      <c r="G3226" s="18">
        <f>HYPERLINK("D:\python\英语学习\voices\"&amp;B3226&amp;"_1.mp3","BrE")</f>
        <v/>
      </c>
      <c r="H3226" s="18">
        <f>HYPERLINK("D:\python\英语学习\voices\"&amp;B3226&amp;"_2.mp3","AmE")</f>
        <v/>
      </c>
      <c r="I3226" s="18">
        <f>HYPERLINK("http://dict.youdao.com/w/"&amp;B3226,"有道")</f>
        <v/>
      </c>
    </row>
    <row customHeight="1" ht="28.5" r="3227">
      <c r="B3227" s="1" t="inlineStr">
        <is>
          <t>replete</t>
        </is>
      </c>
      <c r="C3227" s="7">
        <f>"adj. 充满的；装满的"&amp;CHAR(10)&amp;"n. [昆] 贮蜜蚁"</f>
        <v/>
      </c>
      <c r="E3227" s="6" t="inlineStr">
        <is>
          <t>replete with</t>
        </is>
      </c>
      <c r="G3227" s="18">
        <f>HYPERLINK("D:\python\英语学习\voices\"&amp;B3227&amp;"_1.mp3","BrE")</f>
        <v/>
      </c>
      <c r="H3227" s="18">
        <f>HYPERLINK("D:\python\英语学习\voices\"&amp;B3227&amp;"_2.mp3","AmE")</f>
        <v/>
      </c>
      <c r="I3227" s="18">
        <f>HYPERLINK("http://dict.youdao.com/w/"&amp;B3227,"有道")</f>
        <v/>
      </c>
    </row>
    <row customHeight="1" ht="28.5" r="3228">
      <c r="B3228" s="1" t="inlineStr">
        <is>
          <t>resilient</t>
        </is>
      </c>
      <c r="C3228" s="7">
        <f>"adj. 弹回的，有弹力的；能复原的；可迅速恢复的"</f>
        <v/>
      </c>
      <c r="G3228" s="18">
        <f>HYPERLINK("D:\python\英语学习\voices\"&amp;B3228&amp;"_1.mp3","BrE")</f>
        <v/>
      </c>
      <c r="H3228" s="18">
        <f>HYPERLINK("D:\python\英语学习\voices\"&amp;B3228&amp;"_2.mp3","AmE")</f>
        <v/>
      </c>
      <c r="I3228" s="18">
        <f>HYPERLINK("http://dict.youdao.com/w/"&amp;B3228,"有道")</f>
        <v/>
      </c>
    </row>
    <row customHeight="1" ht="42.75" r="3229">
      <c r="B3229" s="1" t="inlineStr">
        <is>
          <t>riveting</t>
        </is>
      </c>
      <c r="C3229" s="7">
        <f>"adj. 吸引人的"&amp;CHAR(10)&amp;"n. [机] 铆接"&amp;CHAR(10)&amp;"v. 用铆钉固定；集中于…（rivet的ing形式）"</f>
        <v/>
      </c>
      <c r="G3229" s="18">
        <f>HYPERLINK("D:\python\英语学习\voices\"&amp;B3229&amp;"_1.mp3","BrE")</f>
        <v/>
      </c>
      <c r="H3229" s="18">
        <f>HYPERLINK("D:\python\英语学习\voices\"&amp;B3229&amp;"_2.mp3","AmE")</f>
        <v/>
      </c>
      <c r="I3229" s="18">
        <f>HYPERLINK("http://dict.youdao.com/w/"&amp;B3229,"有道")</f>
        <v/>
      </c>
    </row>
    <row customHeight="1" ht="28.5" r="3230">
      <c r="B3230" s="1" t="inlineStr">
        <is>
          <t>runaway</t>
        </is>
      </c>
      <c r="C3230" s="7">
        <f>"adj. 逃亡的；逃走的"&amp;CHAR(10)&amp;"n. 逃跑；逃走的人"</f>
        <v/>
      </c>
      <c r="G3230" s="18">
        <f>HYPERLINK("D:\python\英语学习\voices\"&amp;B3230&amp;"_1.mp3","BrE")</f>
        <v/>
      </c>
      <c r="H3230" s="18">
        <f>HYPERLINK("D:\python\英语学习\voices\"&amp;B3230&amp;"_2.mp3","AmE")</f>
        <v/>
      </c>
      <c r="I3230" s="18">
        <f>HYPERLINK("http://dict.youdao.com/w/"&amp;B3230,"有道")</f>
        <v/>
      </c>
    </row>
    <row customHeight="1" ht="42.75" r="3231">
      <c r="B3231" s="1" t="inlineStr">
        <is>
          <t>savvy</t>
        </is>
      </c>
      <c r="C3231" s="7">
        <f>"n. 悟性；理解能力；洞察力；实际知识"&amp;CHAR(10)&amp;"v. 理解；懂"&amp;CHAR(10)&amp;"adj. 聪慧的；具有实际知识的"</f>
        <v/>
      </c>
      <c r="G3231" s="18">
        <f>HYPERLINK("D:\python\英语学习\voices\"&amp;B3231&amp;"_1.mp3","BrE")</f>
        <v/>
      </c>
      <c r="H3231" s="18">
        <f>HYPERLINK("D:\python\英语学习\voices\"&amp;B3231&amp;"_2.mp3","AmE")</f>
        <v/>
      </c>
      <c r="I3231" s="18">
        <f>HYPERLINK("http://dict.youdao.com/w/"&amp;B3231,"有道")</f>
        <v/>
      </c>
    </row>
    <row customHeight="1" ht="42.75" r="3232">
      <c r="B3232" s="1" t="inlineStr">
        <is>
          <t>sleek</t>
        </is>
      </c>
      <c r="C3232" s="7">
        <f>"adj. 圆滑的；井然有序的"&amp;CHAR(10)&amp;"vt. 使…光滑；掩盖"&amp;CHAR(10)&amp;"vi. 打扮整洁；滑动"</f>
        <v/>
      </c>
      <c r="E3232" s="6" t="inlineStr">
        <is>
          <t>长瘦的可乐罐</t>
        </is>
      </c>
      <c r="G3232" s="18">
        <f>HYPERLINK("D:\python\英语学习\voices\"&amp;B3232&amp;"_1.mp3","BrE")</f>
        <v/>
      </c>
      <c r="H3232" s="18">
        <f>HYPERLINK("D:\python\英语学习\voices\"&amp;B3232&amp;"_2.mp3","AmE")</f>
        <v/>
      </c>
      <c r="I3232" s="18">
        <f>HYPERLINK("http://dict.youdao.com/w/"&amp;B3232,"有道")</f>
        <v/>
      </c>
    </row>
    <row customHeight="1" ht="42.75" r="3233">
      <c r="B3233" s="1" t="inlineStr">
        <is>
          <t>staunch</t>
        </is>
      </c>
      <c r="C3233" s="7">
        <f>"adj. 坚定的；忠诚的；坚固的"&amp;CHAR(10)&amp;"vt. 止住；止血"&amp;CHAR(10)&amp;"n. (Staunch)人名；(英)斯汤奇"</f>
        <v/>
      </c>
      <c r="G3233" s="18">
        <f>HYPERLINK("D:\python\英语学习\voices\"&amp;B3233&amp;"_1.mp3","BrE")</f>
        <v/>
      </c>
      <c r="H3233" s="18">
        <f>HYPERLINK("D:\python\英语学习\voices\"&amp;B3233&amp;"_2.mp3","AmE")</f>
        <v/>
      </c>
      <c r="I3233" s="18">
        <f>HYPERLINK("http://dict.youdao.com/w/"&amp;B3233,"有道")</f>
        <v/>
      </c>
    </row>
    <row customHeight="1" ht="28.5" r="3234">
      <c r="B3234" s="1" t="inlineStr">
        <is>
          <t>torrential</t>
        </is>
      </c>
      <c r="C3234" s="7">
        <f>"adj. （水）奔流的；（雨）倾泻的，如注的；猛烈的"</f>
        <v/>
      </c>
      <c r="G3234" s="18">
        <f>HYPERLINK("D:\python\英语学习\voices\"&amp;B3234&amp;"_1.mp3","BrE")</f>
        <v/>
      </c>
      <c r="H3234" s="18">
        <f>HYPERLINK("D:\python\英语学习\voices\"&amp;B3234&amp;"_2.mp3","AmE")</f>
        <v/>
      </c>
      <c r="I3234" s="18">
        <f>HYPERLINK("http://dict.youdao.com/w/"&amp;B3234,"有道")</f>
        <v/>
      </c>
    </row>
    <row customHeight="1" ht="42.75" r="3235">
      <c r="B3235" s="1" t="inlineStr">
        <is>
          <t>trailblazing</t>
        </is>
      </c>
      <c r="C3235" s="7">
        <f>"adj. 开拓性的"&amp;CHAR(10)&amp;"n. 开拓"&amp;CHAR(10)&amp;"v. 开拓（trailblaze的ing形式）"</f>
        <v/>
      </c>
      <c r="G3235" s="18">
        <f>HYPERLINK("D:\python\英语学习\voices\"&amp;B3235&amp;"_1.mp3","BrE")</f>
        <v/>
      </c>
      <c r="H3235" s="18">
        <f>HYPERLINK("D:\python\英语学习\voices\"&amp;B3235&amp;"_2.mp3","AmE")</f>
        <v/>
      </c>
      <c r="I3235" s="18">
        <f>HYPERLINK("http://dict.youdao.com/w/"&amp;B3235,"有道")</f>
        <v/>
      </c>
    </row>
    <row customHeight="1" ht="28.5" r="3236">
      <c r="B3236" s="1" t="inlineStr">
        <is>
          <t>whizzy</t>
        </is>
      </c>
      <c r="C3236" s="7">
        <f>"adj. 技术先进的，技术上创新的，高技术的；用精密技术创造生动效果的"</f>
        <v/>
      </c>
      <c r="G3236" s="18">
        <f>HYPERLINK("D:\python\英语学习\voices\"&amp;B3236&amp;"_1.mp3","BrE")</f>
        <v/>
      </c>
      <c r="H3236" s="18">
        <f>HYPERLINK("D:\python\英语学习\voices\"&amp;B3236&amp;"_2.mp3","AmE")</f>
        <v/>
      </c>
      <c r="I3236" s="18">
        <f>HYPERLINK("http://dict.youdao.com/w/"&amp;B3236,"有道")</f>
        <v/>
      </c>
    </row>
    <row customHeight="1" ht="71.25" r="3237">
      <c r="A3237" s="1" t="inlineStr">
        <is>
          <t>practice</t>
        </is>
      </c>
      <c r="B3237" s="1" t="inlineStr">
        <is>
          <t>gratification</t>
        </is>
      </c>
      <c r="C3237" s="7">
        <f>"n. 满意；喜悦；使人满意之事"</f>
        <v/>
      </c>
      <c r="G3237" s="18">
        <f>HYPERLINK("D:\python\英语学习\voices\"&amp;B3237&amp;"_1.mp3","BrE")</f>
        <v/>
      </c>
      <c r="H3237" s="18">
        <f>HYPERLINK("D:\python\英语学习\voices\"&amp;B3237&amp;"_2.mp3","AmE")</f>
        <v/>
      </c>
      <c r="I3237" s="18">
        <f>HYPERLINK("http://dict.youdao.com/w/"&amp;B3237,"有道")</f>
        <v/>
      </c>
    </row>
    <row r="3238">
      <c r="B3238" s="1" t="inlineStr">
        <is>
          <t>embellishment</t>
        </is>
      </c>
      <c r="C3238" s="7">
        <f>"n. 装饰，修饰；润色"</f>
        <v/>
      </c>
      <c r="G3238" s="18">
        <f>HYPERLINK("D:\python\英语学习\voices\"&amp;B3238&amp;"_1.mp3","BrE")</f>
        <v/>
      </c>
      <c r="H3238" s="18">
        <f>HYPERLINK("D:\python\英语学习\voices\"&amp;B3238&amp;"_2.mp3","AmE")</f>
        <v/>
      </c>
      <c r="I3238" s="18">
        <f>HYPERLINK("http://dict.youdao.com/w/"&amp;B3238,"有道")</f>
        <v/>
      </c>
    </row>
    <row customHeight="1" ht="28.5" r="3239">
      <c r="B3239" s="1" t="inlineStr">
        <is>
          <t>wistful</t>
        </is>
      </c>
      <c r="C3239" s="7">
        <f>"adj. 渴望的；沉思的，默想的；引起怀念的；不满足似的"</f>
        <v/>
      </c>
      <c r="G3239" s="18">
        <f>HYPERLINK("D:\python\英语学习\voices\"&amp;B3239&amp;"_1.mp3","BrE")</f>
        <v/>
      </c>
      <c r="H3239" s="18">
        <f>HYPERLINK("D:\python\英语学习\voices\"&amp;B3239&amp;"_2.mp3","AmE")</f>
        <v/>
      </c>
      <c r="I3239" s="18">
        <f>HYPERLINK("http://dict.youdao.com/w/"&amp;B3239,"有道")</f>
        <v/>
      </c>
    </row>
    <row customHeight="1" ht="29.1" r="3240">
      <c r="B3240" s="1" t="inlineStr">
        <is>
          <t>unscrupulous</t>
        </is>
      </c>
      <c r="C3240" s="7">
        <f>"adj. 肆无忌惮的；寡廉鲜耻的；不讲道德的"</f>
        <v/>
      </c>
      <c r="G3240" s="18">
        <f>HYPERLINK("D:\python\英语学习\voices\"&amp;B3240&amp;"_1.mp3","BrE")</f>
        <v/>
      </c>
      <c r="H3240" s="18">
        <f>HYPERLINK("D:\python\英语学习\voices\"&amp;B3240&amp;"_2.mp3","AmE")</f>
        <v/>
      </c>
      <c r="I3240" s="18">
        <f>HYPERLINK("http://dict.youdao.com/w/"&amp;B3240,"有道")</f>
        <v/>
      </c>
    </row>
    <row customHeight="1" ht="42.75" r="3241">
      <c r="B3241" s="1" t="inlineStr">
        <is>
          <t>unfettered</t>
        </is>
      </c>
      <c r="C3241" s="7">
        <f>"adj. 无拘无束的；被除去脚镣的"&amp;CHAR(10)&amp;"v. 解开脚链；使自由，解放（unfetter 的过去式和过去分词）"</f>
        <v/>
      </c>
      <c r="G3241" s="18">
        <f>HYPERLINK("D:\python\英语学习\voices\"&amp;B3241&amp;"_1.mp3","BrE")</f>
        <v/>
      </c>
      <c r="H3241" s="18">
        <f>HYPERLINK("D:\python\英语学习\voices\"&amp;B3241&amp;"_2.mp3","AmE")</f>
        <v/>
      </c>
      <c r="I3241" s="18">
        <f>HYPERLINK("http://dict.youdao.com/w/"&amp;B3241,"有道")</f>
        <v/>
      </c>
    </row>
    <row customHeight="1" ht="28.5" r="3242">
      <c r="B3242" s="1" t="inlineStr">
        <is>
          <t>virtuoso</t>
        </is>
      </c>
      <c r="C3242" s="7">
        <f>"n. （尤指演奏乐器的）能手，大家"&amp;CHAR(10)&amp;"adj. 熟练的"</f>
        <v/>
      </c>
      <c r="G3242" s="18">
        <f>HYPERLINK("D:\python\英语学习\voices\"&amp;B3242&amp;"_1.mp3","BrE")</f>
        <v/>
      </c>
      <c r="H3242" s="18">
        <f>HYPERLINK("D:\python\英语学习\voices\"&amp;B3242&amp;"_2.mp3","AmE")</f>
        <v/>
      </c>
      <c r="I3242" s="18">
        <f>HYPERLINK("http://dict.youdao.com/w/"&amp;B3242,"有道")</f>
        <v/>
      </c>
    </row>
    <row r="3243">
      <c r="B3243" s="1" t="inlineStr">
        <is>
          <t>voracious</t>
        </is>
      </c>
      <c r="C3243" s="7">
        <f>"adj. 贪婪的；贪吃的；狼吞虎咽的"</f>
        <v/>
      </c>
      <c r="G3243" s="18">
        <f>HYPERLINK("D:\python\英语学习\voices\"&amp;B3243&amp;"_1.mp3","BrE")</f>
        <v/>
      </c>
      <c r="H3243" s="18">
        <f>HYPERLINK("D:\python\英语学习\voices\"&amp;B3243&amp;"_2.mp3","AmE")</f>
        <v/>
      </c>
      <c r="I3243" s="18">
        <f>HYPERLINK("http://dict.youdao.com/w/"&amp;B3243,"有道")</f>
        <v/>
      </c>
    </row>
    <row r="3244">
      <c r="B3244" s="1" t="inlineStr">
        <is>
          <t>abscond</t>
        </is>
      </c>
      <c r="C3244" s="7">
        <f>"vi. 逃匿，潜逃；避债"</f>
        <v/>
      </c>
      <c r="G3244" s="18">
        <f>HYPERLINK("D:\python\英语学习\voices\"&amp;B3244&amp;"_1.mp3","BrE")</f>
        <v/>
      </c>
      <c r="H3244" s="18">
        <f>HYPERLINK("D:\python\英语学习\voices\"&amp;B3244&amp;"_2.mp3","AmE")</f>
        <v/>
      </c>
      <c r="I3244" s="18">
        <f>HYPERLINK("http://dict.youdao.com/w/"&amp;B3244,"有道")</f>
        <v/>
      </c>
    </row>
    <row customHeight="1" ht="57" r="3245">
      <c r="B3245" s="1" t="inlineStr">
        <is>
          <t>annex</t>
        </is>
      </c>
      <c r="C3245" s="7">
        <f>"v. 附加；获得；并吞；占为己有（非正式）"&amp;CHAR(10)&amp;"n. 附加物；附属建筑物；（文件）附录"&amp;CHAR(10)&amp;"n. (Annex) （美、法、尼、瑞、加）艾尼克斯（人名）"</f>
        <v/>
      </c>
      <c r="G3245" s="18">
        <f>HYPERLINK("D:\python\英语学习\voices\"&amp;B3245&amp;"_1.mp3","BrE")</f>
        <v/>
      </c>
      <c r="H3245" s="18">
        <f>HYPERLINK("D:\python\英语学习\voices\"&amp;B3245&amp;"_2.mp3","AmE")</f>
        <v/>
      </c>
      <c r="I3245" s="18">
        <f>HYPERLINK("http://dict.youdao.com/w/"&amp;B3245,"有道")</f>
        <v/>
      </c>
    </row>
    <row customHeight="1" ht="28.5" r="3246">
      <c r="B3246" s="1" t="inlineStr">
        <is>
          <t>brandish</t>
        </is>
      </c>
      <c r="C3246" s="7">
        <f>"vt. 挥舞；炫耀"&amp;CHAR(10)&amp;"n. 挥舞"</f>
        <v/>
      </c>
      <c r="G3246" s="18">
        <f>HYPERLINK("D:\python\英语学习\voices\"&amp;B3246&amp;"_1.mp3","BrE")</f>
        <v/>
      </c>
      <c r="H3246" s="18">
        <f>HYPERLINK("D:\python\英语学习\voices\"&amp;B3246&amp;"_2.mp3","AmE")</f>
        <v/>
      </c>
      <c r="I3246" s="18">
        <f>HYPERLINK("http://dict.youdao.com/w/"&amp;B3246,"有道")</f>
        <v/>
      </c>
    </row>
    <row customHeight="1" ht="71.25" r="3247">
      <c r="B3247" s="1" t="inlineStr">
        <is>
          <t>bolster</t>
        </is>
      </c>
      <c r="C3247" s="7">
        <f>"n. 长枕，垫枕；承梁；托木；支持；（削砖用的）凿刀"&amp;CHAR(10)&amp;"v. 支持，支撑；给（座位）加软垫；改善，巩固；增强，激励"&amp;CHAR(10)&amp;"n. (Bolster) （美、印、荷）博尔斯特（人名）"</f>
        <v/>
      </c>
      <c r="G3247" s="18">
        <f>HYPERLINK("D:\python\英语学习\voices\"&amp;B3247&amp;"_1.mp3","BrE")</f>
        <v/>
      </c>
      <c r="H3247" s="18">
        <f>HYPERLINK("D:\python\英语学习\voices\"&amp;B3247&amp;"_2.mp3","AmE")</f>
        <v/>
      </c>
      <c r="I3247" s="18">
        <f>HYPERLINK("http://dict.youdao.com/w/"&amp;B3247,"有道")</f>
        <v/>
      </c>
    </row>
    <row customHeight="1" ht="28.5" r="3248">
      <c r="B3248" s="1" t="inlineStr">
        <is>
          <t>bristle</t>
        </is>
      </c>
      <c r="C3248" s="7">
        <f>"n. 刚毛；粗硬短须，胡子楂；刷子毛；猪鬃"&amp;CHAR(10)&amp;"v. （毛发）竖起；发怒；被侵犯；戒备"</f>
        <v/>
      </c>
      <c r="G3248" s="18">
        <f>HYPERLINK("D:\python\英语学习\voices\"&amp;B3248&amp;"_1.mp3","BrE")</f>
        <v/>
      </c>
      <c r="H3248" s="18">
        <f>HYPERLINK("D:\python\英语学习\voices\"&amp;B3248&amp;"_2.mp3","AmE")</f>
        <v/>
      </c>
      <c r="I3248" s="18">
        <f>HYPERLINK("http://dict.youdao.com/w/"&amp;B3248,"有道")</f>
        <v/>
      </c>
    </row>
    <row customHeight="1" ht="42.75" r="3249">
      <c r="B3249" s="1" t="inlineStr">
        <is>
          <t>arsenal</t>
        </is>
      </c>
      <c r="C3249" s="7">
        <f>"n. 兵工厂；军械库；武器；军火库；武器和军用储备；可用于某目的的大量资源；储备的大批武器；（设备、方法等）宝库，珍藏"</f>
        <v/>
      </c>
      <c r="G3249" s="18">
        <f>HYPERLINK("D:\python\英语学习\voices\"&amp;B3249&amp;"_1.mp3","BrE")</f>
        <v/>
      </c>
      <c r="H3249" s="18">
        <f>HYPERLINK("D:\python\英语学习\voices\"&amp;B3249&amp;"_2.mp3","AmE")</f>
        <v/>
      </c>
      <c r="I3249" s="18">
        <f>HYPERLINK("http://dict.youdao.com/w/"&amp;B3249,"有道")</f>
        <v/>
      </c>
    </row>
    <row r="3250">
      <c r="B3250" s="1" t="inlineStr">
        <is>
          <t>chasten</t>
        </is>
      </c>
      <c r="C3250" s="7">
        <f>"vt. 惩罚；磨炼；抑制"</f>
        <v/>
      </c>
      <c r="G3250" s="18">
        <f>HYPERLINK("D:\python\英语学习\voices\"&amp;B3250&amp;"_1.mp3","BrE")</f>
        <v/>
      </c>
      <c r="H3250" s="18">
        <f>HYPERLINK("D:\python\英语学习\voices\"&amp;B3250&amp;"_2.mp3","AmE")</f>
        <v/>
      </c>
      <c r="I3250" s="18">
        <f>HYPERLINK("http://dict.youdao.com/w/"&amp;B3250,"有道")</f>
        <v/>
      </c>
    </row>
    <row customHeight="1" ht="28.5" r="3251">
      <c r="B3251" s="1" t="inlineStr">
        <is>
          <t>chide</t>
        </is>
      </c>
      <c r="C3251" s="7">
        <f>"vt. 责骂；斥责"&amp;CHAR(10)&amp;"vi. 斥责；责骂"</f>
        <v/>
      </c>
      <c r="G3251" s="18">
        <f>HYPERLINK("D:\python\英语学习\voices\"&amp;B3251&amp;"_1.mp3","BrE")</f>
        <v/>
      </c>
      <c r="H3251" s="18">
        <f>HYPERLINK("D:\python\英语学习\voices\"&amp;B3251&amp;"_2.mp3","AmE")</f>
        <v/>
      </c>
      <c r="I3251" s="18">
        <f>HYPERLINK("http://dict.youdao.com/w/"&amp;B3251,"有道")</f>
        <v/>
      </c>
    </row>
    <row customHeight="1" ht="28.5" r="3252">
      <c r="B3252" s="1" t="inlineStr">
        <is>
          <t>clobber</t>
        </is>
      </c>
      <c r="C3252" s="7">
        <f>"vt. 击倒；痛打"&amp;CHAR(10)&amp;"n. 软膏；环草胺除草剂"</f>
        <v/>
      </c>
      <c r="G3252" s="18">
        <f>HYPERLINK("D:\python\英语学习\voices\"&amp;B3252&amp;"_1.mp3","BrE")</f>
        <v/>
      </c>
      <c r="H3252" s="18">
        <f>HYPERLINK("D:\python\英语学习\voices\"&amp;B3252&amp;"_2.mp3","AmE")</f>
        <v/>
      </c>
      <c r="I3252" s="18">
        <f>HYPERLINK("http://dict.youdao.com/w/"&amp;B3252,"有道")</f>
        <v/>
      </c>
    </row>
    <row customHeight="1" ht="28.5" r="3253">
      <c r="A3253" s="1" t="inlineStr">
        <is>
          <t>practice</t>
        </is>
      </c>
      <c r="B3253" s="1" t="inlineStr">
        <is>
          <t>hegemony</t>
        </is>
      </c>
      <c r="C3253" s="7">
        <f>"n. 霸权；领导权；盟主权"</f>
        <v/>
      </c>
      <c r="G3253" s="18">
        <f>HYPERLINK("D:\python\英语学习\voices\"&amp;B3253&amp;"_1.mp3","BrE")</f>
        <v/>
      </c>
      <c r="H3253" s="18">
        <f>HYPERLINK("D:\python\英语学习\voices\"&amp;B3253&amp;"_2.mp3","AmE")</f>
        <v/>
      </c>
      <c r="I3253" s="18">
        <f>HYPERLINK("http://dict.youdao.com/w/"&amp;B3253,"有道")</f>
        <v/>
      </c>
    </row>
    <row r="3254">
      <c r="B3254" s="1" t="inlineStr">
        <is>
          <t>debilitate</t>
        </is>
      </c>
      <c r="C3254" s="7">
        <f>"vt. 使衰弱；使虚弱"</f>
        <v/>
      </c>
      <c r="G3254" s="18">
        <f>HYPERLINK("D:\python\英语学习\voices\"&amp;B3254&amp;"_1.mp3","BrE")</f>
        <v/>
      </c>
      <c r="H3254" s="18">
        <f>HYPERLINK("D:\python\英语学习\voices\"&amp;B3254&amp;"_2.mp3","AmE")</f>
        <v/>
      </c>
      <c r="I3254" s="18">
        <f>HYPERLINK("http://dict.youdao.com/w/"&amp;B3254,"有道")</f>
        <v/>
      </c>
    </row>
    <row r="3255">
      <c r="B3255" s="1" t="inlineStr">
        <is>
          <t>decry</t>
        </is>
      </c>
      <c r="C3255" s="7">
        <f>"vt. 责难，谴责；诽谤"</f>
        <v/>
      </c>
      <c r="D3255" s="6" t="inlineStr">
        <is>
          <t>de-表示不好 cry喊</t>
        </is>
      </c>
      <c r="E3255" s="6" t="inlineStr">
        <is>
          <t>（公开）谴责；（强烈）批评</t>
        </is>
      </c>
      <c r="G3255" s="18">
        <f>HYPERLINK("D:\python\英语学习\voices\"&amp;B3255&amp;"_1.mp3","BrE")</f>
        <v/>
      </c>
      <c r="H3255" s="18">
        <f>HYPERLINK("D:\python\英语学习\voices\"&amp;B3255&amp;"_2.mp3","AmE")</f>
        <v/>
      </c>
      <c r="I3255" s="18">
        <f>HYPERLINK("http://dict.youdao.com/w/"&amp;B3255,"有道")</f>
        <v/>
      </c>
    </row>
    <row customHeight="1" ht="28.5" r="3256">
      <c r="B3256" s="1" t="inlineStr">
        <is>
          <t>deluge</t>
        </is>
      </c>
      <c r="C3256" s="7">
        <f>"n. 洪水；泛滥；暴雨"&amp;CHAR(10)&amp;"vt. 使泛滥；压倒"</f>
        <v/>
      </c>
      <c r="G3256" s="18">
        <f>HYPERLINK("D:\python\英语学习\voices\"&amp;B3256&amp;"_1.mp3","BrE")</f>
        <v/>
      </c>
      <c r="H3256" s="18">
        <f>HYPERLINK("D:\python\英语学习\voices\"&amp;B3256&amp;"_2.mp3","AmE")</f>
        <v/>
      </c>
      <c r="I3256" s="18">
        <f>HYPERLINK("http://dict.youdao.com/w/"&amp;B3256,"有道")</f>
        <v/>
      </c>
    </row>
    <row customHeight="1" ht="28.5" r="3257">
      <c r="A3257" s="1" t="inlineStr">
        <is>
          <t>practice</t>
        </is>
      </c>
      <c r="B3257" s="1" t="inlineStr">
        <is>
          <t>havoc</t>
        </is>
      </c>
      <c r="C3257" s="7">
        <f>"n. 大破坏；浩劫；蹂躏"&amp;CHAR(10)&amp;"vt. 严重破坏"&amp;CHAR(10)&amp;"vi. 损毁"&amp;CHAR(10)&amp;"n. (Havoc)人名；(英)哈沃克"</f>
        <v/>
      </c>
      <c r="E3257" s="10" t="inlineStr">
        <is>
          <t>=chaos</t>
        </is>
      </c>
      <c r="G3257" s="18">
        <f>HYPERLINK("D:\python\英语学习\voices\"&amp;B3257&amp;"_1.mp3","BrE")</f>
        <v/>
      </c>
      <c r="H3257" s="18">
        <f>HYPERLINK("D:\python\英语学习\voices\"&amp;B3257&amp;"_2.mp3","AmE")</f>
        <v/>
      </c>
      <c r="I3257" s="18">
        <f>HYPERLINK("http://dict.youdao.com/w/"&amp;B3257,"有道")</f>
        <v/>
      </c>
    </row>
    <row customHeight="1" ht="28.5" r="3258">
      <c r="B3258" s="1" t="inlineStr">
        <is>
          <t>diversify</t>
        </is>
      </c>
      <c r="C3258" s="7">
        <f>"v. 增加……的品种；扩大经营范围；从事多种经营；（使）多样化，不同；进行多种投资"</f>
        <v/>
      </c>
      <c r="G3258" s="18">
        <f>HYPERLINK("D:\python\英语学习\voices\"&amp;B3258&amp;"_1.mp3","BrE")</f>
        <v/>
      </c>
      <c r="H3258" s="18">
        <f>HYPERLINK("D:\python\英语学习\voices\"&amp;B3258&amp;"_2.mp3","AmE")</f>
        <v/>
      </c>
      <c r="I3258" s="18">
        <f>HYPERLINK("http://dict.youdao.com/w/"&amp;B3258,"有道")</f>
        <v/>
      </c>
    </row>
    <row customHeight="1" ht="57" r="3259">
      <c r="B3259" s="1" t="inlineStr">
        <is>
          <t>don</t>
        </is>
      </c>
      <c r="C3259" s="7">
        <f>"n. 先生，阁下；指导教师，大学教师；西班牙绅士，西班牙人；（非正式）黑手党头目"&amp;CHAR(10)&amp;"v. 穿上，披上，戴上"&amp;CHAR(10)&amp;"n. (Don) （美）唐（人名）"</f>
        <v/>
      </c>
      <c r="G3259" s="18">
        <f>HYPERLINK("D:\python\英语学习\voices\"&amp;B3259&amp;"_1.mp3","BrE")</f>
        <v/>
      </c>
      <c r="H3259" s="18">
        <f>HYPERLINK("D:\python\英语学习\voices\"&amp;B3259&amp;"_2.mp3","AmE")</f>
        <v/>
      </c>
      <c r="I3259" s="18">
        <f>HYPERLINK("http://dict.youdao.com/w/"&amp;B3259,"有道")</f>
        <v/>
      </c>
    </row>
    <row customHeight="1" ht="114" r="3260">
      <c r="B3260" s="1" t="inlineStr">
        <is>
          <t>dub</t>
        </is>
      </c>
      <c r="C3260" s="7">
        <f>"v. 给……起别名（或绰号）；封……为爵士；装上（假蝇）做钓饵；将（软毛、羊毛等材料）掺入鱼饵；在（皮革上）涂油；译制；配音；复制；合成；（高尔夫）打糟（球的一击）；付清，捐款"&amp;CHAR(10)&amp;"n. 配音，配乐；混录音乐；新手；强节奏音乐，强节拍诗歌；鼓声；笨蛋"&amp;CHAR(10)&amp;"n. (Dub) （乌克兰、美）杜布（人名）"</f>
        <v/>
      </c>
      <c r="G3260" s="18">
        <f>HYPERLINK("D:\python\英语学习\voices\"&amp;B3260&amp;"_1.mp3","BrE")</f>
        <v/>
      </c>
      <c r="H3260" s="18">
        <f>HYPERLINK("D:\python\英语学习\voices\"&amp;B3260&amp;"_2.mp3","AmE")</f>
        <v/>
      </c>
      <c r="I3260" s="18">
        <f>HYPERLINK("http://dict.youdao.com/w/"&amp;B3260,"有道")</f>
        <v/>
      </c>
    </row>
    <row customHeight="1" ht="57" r="3261">
      <c r="B3261" s="1" t="inlineStr">
        <is>
          <t>plot</t>
        </is>
      </c>
      <c r="C3261" s="7">
        <f>"n. 情节；图；阴谋"&amp;CHAR(10)&amp;"vt. 密谋；绘图；划分；标绘"&amp;CHAR(10)&amp;"vi. 密谋；策划；绘制"&amp;CHAR(10)&amp;"n. (Plot)人名；(捷)普洛特；(法)普洛"</f>
        <v/>
      </c>
      <c r="G3261" s="18">
        <f>HYPERLINK("D:\python\英语学习\voices\"&amp;B3261&amp;"_1.mp3","BrE")</f>
        <v/>
      </c>
      <c r="H3261" s="18">
        <f>HYPERLINK("D:\python\英语学习\voices\"&amp;B3261&amp;"_2.mp3","AmE")</f>
        <v/>
      </c>
      <c r="I3261" s="18">
        <f>HYPERLINK("http://dict.youdao.com/w/"&amp;B3261,"有道")</f>
        <v/>
      </c>
    </row>
    <row customHeight="1" ht="28.5" r="3262">
      <c r="A3262" s="1" t="inlineStr">
        <is>
          <t>practice</t>
        </is>
      </c>
      <c r="B3262" s="1" t="inlineStr">
        <is>
          <t>awry</t>
        </is>
      </c>
      <c r="C3262" s="7">
        <f>"adj. 脱离既定路线的；歪的"&amp;CHAR(10)&amp;"adv. 迷途地；歪"</f>
        <v/>
      </c>
      <c r="G3262" s="18">
        <f>HYPERLINK("D:\python\英语学习\voices\"&amp;B3262&amp;"_1.mp3","BrE")</f>
        <v/>
      </c>
      <c r="H3262" s="18">
        <f>HYPERLINK("D:\python\英语学习\voices\"&amp;B3262&amp;"_2.mp3","AmE")</f>
        <v/>
      </c>
      <c r="I3262" s="18">
        <f>HYPERLINK("http://dict.youdao.com/w/"&amp;B3262,"有道")</f>
        <v/>
      </c>
    </row>
    <row r="3263">
      <c r="B3263" s="1" t="inlineStr">
        <is>
          <t>epitomize</t>
        </is>
      </c>
      <c r="C3263" s="7">
        <f>"vt. 摘要；概括；成为…的缩影"</f>
        <v/>
      </c>
      <c r="G3263" s="18">
        <f>HYPERLINK("D:\python\英语学习\voices\"&amp;B3263&amp;"_1.mp3","BrE")</f>
        <v/>
      </c>
      <c r="H3263" s="18">
        <f>HYPERLINK("D:\python\英语学习\voices\"&amp;B3263&amp;"_2.mp3","AmE")</f>
        <v/>
      </c>
      <c r="I3263" s="18">
        <f>HYPERLINK("http://dict.youdao.com/w/"&amp;B3263,"有道")</f>
        <v/>
      </c>
    </row>
    <row customHeight="1" ht="28.5" r="3264">
      <c r="B3264" s="1" t="inlineStr">
        <is>
          <t>flout</t>
        </is>
      </c>
      <c r="C3264" s="7">
        <f>"v. 藐视，无视（规则、法律等）；嘲笑，愚弄"&amp;CHAR(10)&amp;"n. 嘲笑，愚弄"</f>
        <v/>
      </c>
      <c r="G3264" s="18">
        <f>HYPERLINK("D:\python\英语学习\voices\"&amp;B3264&amp;"_1.mp3","BrE")</f>
        <v/>
      </c>
      <c r="H3264" s="18">
        <f>HYPERLINK("D:\python\英语学习\voices\"&amp;B3264&amp;"_2.mp3","AmE")</f>
        <v/>
      </c>
      <c r="I3264" s="18">
        <f>HYPERLINK("http://dict.youdao.com/w/"&amp;B3264,"有道")</f>
        <v/>
      </c>
    </row>
    <row customHeight="1" ht="85.5" r="3265">
      <c r="B3265" s="1" t="inlineStr">
        <is>
          <t>foil</t>
        </is>
      </c>
      <c r="C3265" s="7">
        <f>"v. 阻止，挫败；（猎物）搅乱（嗅迹等）；贴箔于；衬托"&amp;CHAR(10)&amp;"n. （包装食物用的）箔，金属薄片；衬托，烘托；猎物足迹（或嗅迹）；挫折，失败；叶形片，叶形饰；花剑；（水翼艇的）水翼"&amp;CHAR(10)&amp;"n. (Foil) （美）福伊尔（人名）"</f>
        <v/>
      </c>
      <c r="G3265" s="18">
        <f>HYPERLINK("D:\python\英语学习\voices\"&amp;B3265&amp;"_1.mp3","BrE")</f>
        <v/>
      </c>
      <c r="H3265" s="18">
        <f>HYPERLINK("D:\python\英语学习\voices\"&amp;B3265&amp;"_2.mp3","AmE")</f>
        <v/>
      </c>
      <c r="I3265" s="18">
        <f>HYPERLINK("http://dict.youdao.com/w/"&amp;B3265,"有道")</f>
        <v/>
      </c>
    </row>
    <row customHeight="1" ht="28.5" r="3266">
      <c r="B3266" s="1" t="inlineStr">
        <is>
          <t>garner</t>
        </is>
      </c>
      <c r="C3266" s="7">
        <f>"vt. 获得；储存；把…储入谷仓"&amp;CHAR(10)&amp;"n. 谷仓"</f>
        <v/>
      </c>
      <c r="G3266" s="18">
        <f>HYPERLINK("D:\python\英语学习\voices\"&amp;B3266&amp;"_1.mp3","BrE")</f>
        <v/>
      </c>
      <c r="H3266" s="18">
        <f>HYPERLINK("D:\python\英语学习\voices\"&amp;B3266&amp;"_2.mp3","AmE")</f>
        <v/>
      </c>
      <c r="I3266" s="18">
        <f>HYPERLINK("http://dict.youdao.com/w/"&amp;B3266,"有道")</f>
        <v/>
      </c>
    </row>
    <row customHeight="1" ht="42.75" r="3267">
      <c r="B3267" s="1" t="inlineStr">
        <is>
          <t>gobble</t>
        </is>
      </c>
      <c r="C3267" s="7">
        <f>"vi. 贪食；咯咯叫"&amp;CHAR(10)&amp;"vt. 狼吞虎咽"&amp;CHAR(10)&amp;"n. 火鸡叫声"</f>
        <v/>
      </c>
      <c r="E3267" s="6" t="inlineStr">
        <is>
          <t>gobble up狼吞虎咽</t>
        </is>
      </c>
      <c r="G3267" s="18">
        <f>HYPERLINK("D:\python\英语学习\voices\"&amp;B3267&amp;"_1.mp3","BrE")</f>
        <v/>
      </c>
      <c r="H3267" s="18">
        <f>HYPERLINK("D:\python\英语学习\voices\"&amp;B3267&amp;"_2.mp3","AmE")</f>
        <v/>
      </c>
      <c r="I3267" s="18">
        <f>HYPERLINK("http://dict.youdao.com/w/"&amp;B3267,"有道")</f>
        <v/>
      </c>
    </row>
    <row customHeight="1" ht="28.5" r="3268">
      <c r="A3268" s="1" t="inlineStr">
        <is>
          <t>unnecessary</t>
        </is>
      </c>
      <c r="B3268" s="1" t="inlineStr">
        <is>
          <t>gridlock</t>
        </is>
      </c>
      <c r="C3268" s="7">
        <f>"n. 交通全面堵塞；（政治）僵局"&amp;CHAR(10)&amp;"v. 交通堵塞"</f>
        <v/>
      </c>
      <c r="G3268" s="18">
        <f>HYPERLINK("D:\python\英语学习\voices\"&amp;B3268&amp;"_1.mp3","BrE")</f>
        <v/>
      </c>
      <c r="H3268" s="18">
        <f>HYPERLINK("D:\python\英语学习\voices\"&amp;B3268&amp;"_2.mp3","AmE")</f>
        <v/>
      </c>
      <c r="I3268" s="18">
        <f>HYPERLINK("http://dict.youdao.com/w/"&amp;B3268,"有道")</f>
        <v/>
      </c>
    </row>
    <row customHeight="1" ht="42.75" r="3269">
      <c r="B3269" s="1" t="inlineStr">
        <is>
          <t>grill</t>
        </is>
      </c>
      <c r="C3269" s="7">
        <f>"n. 烤炉；烤架；烧烤的菜肴（尤指烤肉）；烧烤店；（门或窗的）护栏；金属格栅"&amp;CHAR(10)&amp;"v. （在烤架上）炙烤；（非正式）严厉盘问"</f>
        <v/>
      </c>
      <c r="G3269" s="18">
        <f>HYPERLINK("D:\python\英语学习\voices\"&amp;B3269&amp;"_1.mp3","BrE")</f>
        <v/>
      </c>
      <c r="H3269" s="18">
        <f>HYPERLINK("D:\python\英语学习\voices\"&amp;B3269&amp;"_2.mp3","AmE")</f>
        <v/>
      </c>
      <c r="I3269" s="18">
        <f>HYPERLINK("http://dict.youdao.com/w/"&amp;B3269,"有道")</f>
        <v/>
      </c>
    </row>
    <row customHeight="1" ht="42.75" r="3270">
      <c r="B3270" s="1" t="inlineStr">
        <is>
          <t>hurtle</t>
        </is>
      </c>
      <c r="C3270" s="7">
        <f>"vi. 猛冲；猛烈碰撞"&amp;CHAR(10)&amp;"vt. 猛投；冲向"&amp;CHAR(10)&amp;"n. 碰撞；猛冲"</f>
        <v/>
      </c>
      <c r="G3270" s="18">
        <f>HYPERLINK("D:\python\英语学习\voices\"&amp;B3270&amp;"_1.mp3","BrE")</f>
        <v/>
      </c>
      <c r="H3270" s="18">
        <f>HYPERLINK("D:\python\英语学习\voices\"&amp;B3270&amp;"_2.mp3","AmE")</f>
        <v/>
      </c>
      <c r="I3270" s="18">
        <f>HYPERLINK("http://dict.youdao.com/w/"&amp;B3270,"有道")</f>
        <v/>
      </c>
    </row>
    <row r="3271">
      <c r="B3271" s="1" t="inlineStr">
        <is>
          <t>indict</t>
        </is>
      </c>
      <c r="C3271" s="7">
        <f>"vt. 控告，起诉；[法] 揭发"</f>
        <v/>
      </c>
      <c r="G3271" s="18">
        <f>HYPERLINK("D:\python\英语学习\voices\"&amp;B3271&amp;"_1.mp3","BrE")</f>
        <v/>
      </c>
      <c r="H3271" s="18">
        <f>HYPERLINK("D:\python\英语学习\voices\"&amp;B3271&amp;"_2.mp3","AmE")</f>
        <v/>
      </c>
      <c r="I3271" s="18">
        <f>HYPERLINK("http://dict.youdao.com/w/"&amp;B3271,"有道")</f>
        <v/>
      </c>
    </row>
    <row r="3272">
      <c r="B3272" s="1" t="inlineStr">
        <is>
          <t>molest</t>
        </is>
      </c>
      <c r="C3272" s="7">
        <f>"vt. 骚扰；调戏；干扰"</f>
        <v/>
      </c>
      <c r="G3272" s="18">
        <f>HYPERLINK("D:\python\英语学习\voices\"&amp;B3272&amp;"_1.mp3","BrE")</f>
        <v/>
      </c>
      <c r="H3272" s="18">
        <f>HYPERLINK("D:\python\英语学习\voices\"&amp;B3272&amp;"_2.mp3","AmE")</f>
        <v/>
      </c>
      <c r="I3272" s="18">
        <f>HYPERLINK("http://dict.youdao.com/w/"&amp;B3272,"有道")</f>
        <v/>
      </c>
    </row>
    <row customHeight="1" ht="57" r="3273">
      <c r="B3273" s="1" t="inlineStr">
        <is>
          <t>jolt</t>
        </is>
      </c>
      <c r="C3273" s="7">
        <f>"v. 猛推，搡；使颠簸，使摇动；使震惊，使觉醒；使突然活跃（或有效）"&amp;CHAR(10)&amp;"n. 颠簸，摇晃；一阵强烈的感情（如震惊）；一份（烈酒）"</f>
        <v/>
      </c>
      <c r="G3273" s="18">
        <f>HYPERLINK("D:\python\英语学习\voices\"&amp;B3273&amp;"_1.mp3","BrE")</f>
        <v/>
      </c>
      <c r="H3273" s="18">
        <f>HYPERLINK("D:\python\英语学习\voices\"&amp;B3273&amp;"_2.mp3","AmE")</f>
        <v/>
      </c>
      <c r="I3273" s="18">
        <f>HYPERLINK("http://dict.youdao.com/w/"&amp;B3273,"有道")</f>
        <v/>
      </c>
    </row>
    <row r="3274">
      <c r="B3274" s="1" t="inlineStr">
        <is>
          <t>languish</t>
        </is>
      </c>
      <c r="C3274" s="7">
        <f>"vi. 憔悴；凋萎；失去活力；苦思"</f>
        <v/>
      </c>
      <c r="G3274" s="18">
        <f>HYPERLINK("D:\python\英语学习\voices\"&amp;B3274&amp;"_1.mp3","BrE")</f>
        <v/>
      </c>
      <c r="H3274" s="18">
        <f>HYPERLINK("D:\python\英语学习\voices\"&amp;B3274&amp;"_2.mp3","AmE")</f>
        <v/>
      </c>
      <c r="I3274" s="18">
        <f>HYPERLINK("http://dict.youdao.com/w/"&amp;B3274,"有道")</f>
        <v/>
      </c>
    </row>
    <row customHeight="1" ht="28.5" r="3275">
      <c r="B3275" s="1" t="inlineStr">
        <is>
          <t>leverage</t>
        </is>
      </c>
      <c r="C3275" s="7">
        <f>"n. 手段，影响力；杠杆作用；杠杆效率"&amp;CHAR(10)&amp;"v. 利用；举债经营"</f>
        <v/>
      </c>
      <c r="G3275" s="18">
        <f>HYPERLINK("D:\python\英语学习\voices\"&amp;B3275&amp;"_1.mp3","BrE")</f>
        <v/>
      </c>
      <c r="H3275" s="18">
        <f>HYPERLINK("D:\python\英语学习\voices\"&amp;B3275&amp;"_2.mp3","AmE")</f>
        <v/>
      </c>
      <c r="I3275" s="18">
        <f>HYPERLINK("http://dict.youdao.com/w/"&amp;B3275,"有道")</f>
        <v/>
      </c>
    </row>
    <row customHeight="1" ht="42.75" r="3276">
      <c r="B3276" s="1" t="inlineStr">
        <is>
          <t>mimic</t>
        </is>
      </c>
      <c r="C3276" s="7">
        <f>"vt. 模仿，摹拟"&amp;CHAR(10)&amp;"n. 效颦者，模仿者；仿制品；小丑"&amp;CHAR(10)&amp;"adj. 模仿的，模拟的；假装的"</f>
        <v/>
      </c>
      <c r="G3276" s="18">
        <f>HYPERLINK("D:\python\英语学习\voices\"&amp;B3276&amp;"_1.mp3","BrE")</f>
        <v/>
      </c>
      <c r="H3276" s="18">
        <f>HYPERLINK("D:\python\英语学习\voices\"&amp;B3276&amp;"_2.mp3","AmE")</f>
        <v/>
      </c>
      <c r="I3276" s="18">
        <f>HYPERLINK("http://dict.youdao.com/w/"&amp;B3276,"有道")</f>
        <v/>
      </c>
    </row>
    <row customHeight="1" ht="28.5" r="3277">
      <c r="B3277" s="1" t="inlineStr">
        <is>
          <t>negotiate</t>
        </is>
      </c>
      <c r="C3277" s="7">
        <f>"vt. 谈判，商议；转让；越过"&amp;CHAR(10)&amp;"vi. 谈判，交涉"</f>
        <v/>
      </c>
      <c r="G3277" s="18">
        <f>HYPERLINK("D:\python\英语学习\voices\"&amp;B3277&amp;"_1.mp3","BrE")</f>
        <v/>
      </c>
      <c r="H3277" s="18">
        <f>HYPERLINK("D:\python\英语学习\voices\"&amp;B3277&amp;"_2.mp3","AmE")</f>
        <v/>
      </c>
      <c r="I3277" s="18">
        <f>HYPERLINK("http://dict.youdao.com/w/"&amp;B3277,"有道")</f>
        <v/>
      </c>
    </row>
    <row customHeight="1" ht="42.75" r="3278">
      <c r="B3278" s="1" t="inlineStr">
        <is>
          <t>nibble</t>
        </is>
      </c>
      <c r="C3278" s="7">
        <f>"vi. 细咬；一点一点地咬；吹毛求疵"&amp;CHAR(10)&amp;"vt. 细咬；一点一点地咬；吹毛求疵"&amp;CHAR(10)&amp;"n. 轻咬；啃；细咬"</f>
        <v/>
      </c>
      <c r="G3278" s="18">
        <f>HYPERLINK("D:\python\英语学习\voices\"&amp;B3278&amp;"_1.mp3","BrE")</f>
        <v/>
      </c>
      <c r="H3278" s="18">
        <f>HYPERLINK("D:\python\英语学习\voices\"&amp;B3278&amp;"_2.mp3","AmE")</f>
        <v/>
      </c>
      <c r="I3278" s="18">
        <f>HYPERLINK("http://dict.youdao.com/w/"&amp;B3278,"有道")</f>
        <v/>
      </c>
    </row>
    <row customHeight="1" ht="28.5" r="3279">
      <c r="B3279" s="1" t="inlineStr">
        <is>
          <t>prescribe</t>
        </is>
      </c>
      <c r="C3279" s="7">
        <f>"vi. 规定；开药方"&amp;CHAR(10)&amp;"vt. 规定；开处方"</f>
        <v/>
      </c>
      <c r="G3279" s="18">
        <f>HYPERLINK("D:\python\英语学习\voices\"&amp;B3279&amp;"_1.mp3","BrE")</f>
        <v/>
      </c>
      <c r="H3279" s="18">
        <f>HYPERLINK("D:\python\英语学习\voices\"&amp;B3279&amp;"_2.mp3","AmE")</f>
        <v/>
      </c>
      <c r="I3279" s="18">
        <f>HYPERLINK("http://dict.youdao.com/w/"&amp;B3279,"有道")</f>
        <v/>
      </c>
    </row>
    <row customHeight="1" ht="28.5" r="3280">
      <c r="B3280" s="1" t="inlineStr">
        <is>
          <t>rankle</t>
        </is>
      </c>
      <c r="C3280" s="7">
        <f>"vi. 化脓；怨恨；发炎"&amp;CHAR(10)&amp;"vt. 使怨恨；使疼痛；使痛苦"</f>
        <v/>
      </c>
      <c r="G3280" s="18">
        <f>HYPERLINK("D:\python\英语学习\voices\"&amp;B3280&amp;"_1.mp3","BrE")</f>
        <v/>
      </c>
      <c r="H3280" s="18">
        <f>HYPERLINK("D:\python\英语学习\voices\"&amp;B3280&amp;"_2.mp3","AmE")</f>
        <v/>
      </c>
      <c r="I3280" s="18">
        <f>HYPERLINK("http://dict.youdao.com/w/"&amp;B3280,"有道")</f>
        <v/>
      </c>
    </row>
    <row customHeight="1" ht="42.75" r="3281">
      <c r="B3281" s="1" t="inlineStr">
        <is>
          <t>ravage</t>
        </is>
      </c>
      <c r="C3281" s="7">
        <f>"vt. 毁坏；破坏；掠夺"&amp;CHAR(10)&amp;"n. 蹂躏，破坏"&amp;CHAR(10)&amp;"vi. 毁坏；掠夺"</f>
        <v/>
      </c>
      <c r="G3281" s="18">
        <f>HYPERLINK("D:\python\英语学习\voices\"&amp;B3281&amp;"_1.mp3","BrE")</f>
        <v/>
      </c>
      <c r="H3281" s="18">
        <f>HYPERLINK("D:\python\英语学习\voices\"&amp;B3281&amp;"_2.mp3","AmE")</f>
        <v/>
      </c>
      <c r="I3281" s="18">
        <f>HYPERLINK("http://dict.youdao.com/w/"&amp;B3281,"有道")</f>
        <v/>
      </c>
    </row>
    <row r="3282">
      <c r="B3282" s="1" t="inlineStr">
        <is>
          <t>replenish</t>
        </is>
      </c>
      <c r="C3282" s="7">
        <f>"vt. 补充，再装满；把…装满；给…添加燃料"</f>
        <v/>
      </c>
      <c r="G3282" s="18">
        <f>HYPERLINK("D:\python\英语学习\voices\"&amp;B3282&amp;"_1.mp3","BrE")</f>
        <v/>
      </c>
      <c r="H3282" s="18">
        <f>HYPERLINK("D:\python\英语学习\voices\"&amp;B3282&amp;"_2.mp3","AmE")</f>
        <v/>
      </c>
      <c r="I3282" s="18">
        <f>HYPERLINK("http://dict.youdao.com/w/"&amp;B3282,"有道")</f>
        <v/>
      </c>
    </row>
    <row customHeight="1" ht="28.5" r="3283">
      <c r="B3283" s="1" t="inlineStr">
        <is>
          <t>rehabilitate</t>
        </is>
      </c>
      <c r="C3283" s="7">
        <f>"vt. 使康复；使恢复名誉；使恢复原状"&amp;CHAR(10)&amp;"vi. 复兴；复权；恢复正常生活"</f>
        <v/>
      </c>
      <c r="G3283" s="18">
        <f>HYPERLINK("D:\python\英语学习\voices\"&amp;B3283&amp;"_1.mp3","BrE")</f>
        <v/>
      </c>
      <c r="H3283" s="18">
        <f>HYPERLINK("D:\python\英语学习\voices\"&amp;B3283&amp;"_2.mp3","AmE")</f>
        <v/>
      </c>
      <c r="I3283" s="18">
        <f>HYPERLINK("http://dict.youdao.com/w/"&amp;B3283,"有道")</f>
        <v/>
      </c>
    </row>
    <row customHeight="1" ht="28.5" r="3284">
      <c r="B3284" s="1" t="inlineStr">
        <is>
          <t>revile</t>
        </is>
      </c>
      <c r="C3284" s="7">
        <f>"vt. 辱骂；斥责"&amp;CHAR(10)&amp;"vi. 辱骂；谩骂"</f>
        <v/>
      </c>
      <c r="G3284" s="18">
        <f>HYPERLINK("D:\python\英语学习\voices\"&amp;B3284&amp;"_1.mp3","BrE")</f>
        <v/>
      </c>
      <c r="H3284" s="18">
        <f>HYPERLINK("D:\python\英语学习\voices\"&amp;B3284&amp;"_2.mp3","AmE")</f>
        <v/>
      </c>
      <c r="I3284" s="18">
        <f>HYPERLINK("http://dict.youdao.com/w/"&amp;B3284,"有道")</f>
        <v/>
      </c>
    </row>
    <row r="3285">
      <c r="B3285" s="1" t="inlineStr">
        <is>
          <t>revitalize</t>
        </is>
      </c>
      <c r="C3285" s="7">
        <f>"vt. 使…复活；使…复兴；使…恢复生气"</f>
        <v/>
      </c>
      <c r="D3285" s="16" t="inlineStr">
        <is>
          <t>vital生命的</t>
        </is>
      </c>
      <c r="G3285" s="18">
        <f>HYPERLINK("D:\python\英语学习\voices\"&amp;B3285&amp;"_1.mp3","BrE")</f>
        <v/>
      </c>
      <c r="H3285" s="18">
        <f>HYPERLINK("D:\python\英语学习\voices\"&amp;B3285&amp;"_2.mp3","AmE")</f>
        <v/>
      </c>
      <c r="I3285" s="18">
        <f>HYPERLINK("http://dict.youdao.com/w/"&amp;B3285,"有道")</f>
        <v/>
      </c>
    </row>
    <row customHeight="1" ht="28.5" r="3286">
      <c r="B3286" s="1" t="inlineStr">
        <is>
          <t>scurry</t>
        </is>
      </c>
      <c r="C3286" s="7">
        <f>"v. 急赶；碎步急跑"&amp;CHAR(10)&amp;"n. 匆忙；混乱；急跑；短距离赛跑（或赛马）"</f>
        <v/>
      </c>
      <c r="G3286" s="18">
        <f>HYPERLINK("D:\python\英语学习\voices\"&amp;B3286&amp;"_1.mp3","BrE")</f>
        <v/>
      </c>
      <c r="H3286" s="18">
        <f>HYPERLINK("D:\python\英语学习\voices\"&amp;B3286&amp;"_2.mp3","AmE")</f>
        <v/>
      </c>
      <c r="I3286" s="18">
        <f>HYPERLINK("http://dict.youdao.com/w/"&amp;B3286,"有道")</f>
        <v/>
      </c>
    </row>
    <row customHeight="1" ht="28.5" r="3287">
      <c r="B3287" s="1" t="inlineStr">
        <is>
          <t>spearhead</t>
        </is>
      </c>
      <c r="C3287" s="7">
        <f>"n. 矛头；先锋；先锋部队"&amp;CHAR(10)&amp;"vt. 带头；做先锋"</f>
        <v/>
      </c>
      <c r="G3287" s="18">
        <f>HYPERLINK("D:\python\英语学习\voices\"&amp;B3287&amp;"_1.mp3","BrE")</f>
        <v/>
      </c>
      <c r="H3287" s="18">
        <f>HYPERLINK("D:\python\英语学习\voices\"&amp;B3287&amp;"_2.mp3","AmE")</f>
        <v/>
      </c>
      <c r="I3287" s="18">
        <f>HYPERLINK("http://dict.youdao.com/w/"&amp;B3287,"有道")</f>
        <v/>
      </c>
    </row>
    <row customHeight="1" ht="28.5" r="3288">
      <c r="B3288" s="1" t="inlineStr">
        <is>
          <t>synchronize</t>
        </is>
      </c>
      <c r="C3288" s="7">
        <f>"vt. 使……合拍；使……同步"&amp;CHAR(10)&amp;"vi. 同步；同时发生"</f>
        <v/>
      </c>
      <c r="G3288" s="18">
        <f>HYPERLINK("D:\python\英语学习\voices\"&amp;B3288&amp;"_1.mp3","BrE")</f>
        <v/>
      </c>
      <c r="H3288" s="18">
        <f>HYPERLINK("D:\python\英语学习\voices\"&amp;B3288&amp;"_2.mp3","AmE")</f>
        <v/>
      </c>
      <c r="I3288" s="18">
        <f>HYPERLINK("http://dict.youdao.com/w/"&amp;B3288,"有道")</f>
        <v/>
      </c>
    </row>
    <row customHeight="1" ht="42.75" r="3289">
      <c r="B3289" s="1" t="inlineStr">
        <is>
          <t>torpedo</t>
        </is>
      </c>
      <c r="C3289" s="7">
        <f>"n. 鱼雷，水雷；信号雷管；掼炮；油井爆破筒；电鳐"&amp;CHAR(10)&amp;"v. 用鱼雷袭击；彻底破坏，完全摧毁"</f>
        <v/>
      </c>
      <c r="G3289" s="18">
        <f>HYPERLINK("D:\python\英语学习\voices\"&amp;B3289&amp;"_1.mp3","BrE")</f>
        <v/>
      </c>
      <c r="H3289" s="18">
        <f>HYPERLINK("D:\python\英语学习\voices\"&amp;B3289&amp;"_2.mp3","AmE")</f>
        <v/>
      </c>
      <c r="I3289" s="18">
        <f>HYPERLINK("http://dict.youdao.com/w/"&amp;B3289,"有道")</f>
        <v/>
      </c>
    </row>
    <row customHeight="1" ht="57" r="3290">
      <c r="A3290" s="1" t="inlineStr">
        <is>
          <t>practice</t>
        </is>
      </c>
      <c r="B3290" s="1" t="inlineStr">
        <is>
          <t>chagrined</t>
        </is>
      </c>
      <c r="C3290" s="7">
        <f>"adj. 苦恼的；失望的"&amp;CHAR(10)&amp;"v. 使懊恼（chagrin的过去分词）"</f>
        <v/>
      </c>
      <c r="G3290" s="18">
        <f>HYPERLINK("D:\python\英语学习\voices\"&amp;B3290&amp;"_1.mp3","BrE")</f>
        <v/>
      </c>
      <c r="H3290" s="18">
        <f>HYPERLINK("D:\python\英语学习\voices\"&amp;B3290&amp;"_2.mp3","AmE")</f>
        <v/>
      </c>
      <c r="I3290" s="18">
        <f>HYPERLINK("http://dict.youdao.com/w/"&amp;B3290,"有道")</f>
        <v/>
      </c>
    </row>
    <row r="3291">
      <c r="B3291" s="1" t="inlineStr">
        <is>
          <t>vindicate</t>
        </is>
      </c>
      <c r="C3291" s="7">
        <f>"vt. 维护；证明…无辜；证明…正确"</f>
        <v/>
      </c>
      <c r="G3291" s="18">
        <f>HYPERLINK("D:\python\英语学习\voices\"&amp;B3291&amp;"_1.mp3","BrE")</f>
        <v/>
      </c>
      <c r="H3291" s="18">
        <f>HYPERLINK("D:\python\英语学习\voices\"&amp;B3291&amp;"_2.mp3","AmE")</f>
        <v/>
      </c>
      <c r="I3291" s="18">
        <f>HYPERLINK("http://dict.youdao.com/w/"&amp;B3291,"有道")</f>
        <v/>
      </c>
    </row>
    <row customHeight="1" ht="28.5" r="3292">
      <c r="B3292" s="1" t="inlineStr">
        <is>
          <t>decease</t>
        </is>
      </c>
      <c r="C3292" s="7">
        <f>"n. 死亡"&amp;CHAR(10)&amp;"v. 死亡"</f>
        <v/>
      </c>
      <c r="E3292" s="6" t="inlineStr">
        <is>
          <t>名词也是</t>
        </is>
      </c>
      <c r="G3292" s="18">
        <f>HYPERLINK("D:\python\英语学习\voices\"&amp;B3292&amp;"_1.mp3","BrE")</f>
        <v/>
      </c>
      <c r="H3292" s="18">
        <f>HYPERLINK("D:\python\英语学习\voices\"&amp;B3292&amp;"_2.mp3","AmE")</f>
        <v/>
      </c>
      <c r="I3292" s="18">
        <f>HYPERLINK("http://dict.youdao.com/w/"&amp;B3292,"有道")</f>
        <v/>
      </c>
    </row>
    <row r="3293">
      <c r="B3293" s="1" t="inlineStr">
        <is>
          <t>permutation</t>
        </is>
      </c>
      <c r="C3293" s="7">
        <f>"n. [数] 排列；[数] 置换"</f>
        <v/>
      </c>
      <c r="G3293" s="18">
        <f>HYPERLINK("D:\python\英语学习\voices\"&amp;B3293&amp;"_1.mp3","BrE")</f>
        <v/>
      </c>
      <c r="H3293" s="18">
        <f>HYPERLINK("D:\python\英语学习\voices\"&amp;B3293&amp;"_2.mp3","AmE")</f>
        <v/>
      </c>
      <c r="I3293" s="18">
        <f>HYPERLINK("http://dict.youdao.com/w/"&amp;B3293,"有道")</f>
        <v/>
      </c>
    </row>
    <row customHeight="1" ht="28.5" r="3294">
      <c r="B3294" s="1" t="inlineStr">
        <is>
          <t>sugarcoat</t>
        </is>
      </c>
      <c r="C3294" s="7">
        <f>"vt. 裹以糖衣；粉饰，使有吸引力"&amp;CHAR(10)&amp;"n. 糖衣"</f>
        <v/>
      </c>
      <c r="G3294" s="18">
        <f>HYPERLINK("D:\python\英语学习\voices\"&amp;B3294&amp;"_1.mp3","BrE")</f>
        <v/>
      </c>
      <c r="H3294" s="18">
        <f>HYPERLINK("D:\python\英语学习\voices\"&amp;B3294&amp;"_2.mp3","AmE")</f>
        <v/>
      </c>
      <c r="I3294" s="18">
        <f>HYPERLINK("http://dict.youdao.com/w/"&amp;B3294,"有道")</f>
        <v/>
      </c>
    </row>
    <row customHeight="1" ht="28.5" r="3295">
      <c r="B3295" s="1" t="inlineStr">
        <is>
          <t>polymath</t>
        </is>
      </c>
      <c r="C3295" s="7">
        <f>"n. 博学的人"&amp;CHAR(10)&amp;"adj. 博学的"</f>
        <v/>
      </c>
      <c r="G3295" s="18">
        <f>HYPERLINK("D:\python\英语学习\voices\"&amp;B3295&amp;"_1.mp3","BrE")</f>
        <v/>
      </c>
      <c r="H3295" s="18">
        <f>HYPERLINK("D:\python\英语学习\voices\"&amp;B3295&amp;"_2.mp3","AmE")</f>
        <v/>
      </c>
      <c r="I3295" s="18">
        <f>HYPERLINK("http://dict.youdao.com/w/"&amp;B3295,"有道")</f>
        <v/>
      </c>
    </row>
    <row r="3296">
      <c r="A3296" s="1" t="inlineStr">
        <is>
          <t>unnecessary</t>
        </is>
      </c>
      <c r="B3296" s="1" t="inlineStr">
        <is>
          <t>epistemology</t>
        </is>
      </c>
      <c r="C3296" s="7">
        <f>"n. 认识论"</f>
        <v/>
      </c>
      <c r="E3296" s="6" t="inlineStr">
        <is>
          <t>马原课“听力”2333</t>
        </is>
      </c>
      <c r="G3296" s="18">
        <f>HYPERLINK("D:\python\英语学习\voices\"&amp;B3296&amp;"_1.mp3","BrE")</f>
        <v/>
      </c>
      <c r="H3296" s="18">
        <f>HYPERLINK("D:\python\英语学习\voices\"&amp;B3296&amp;"_2.mp3","AmE")</f>
        <v/>
      </c>
      <c r="I3296" s="18">
        <f>HYPERLINK("http://dict.youdao.com/w/"&amp;B3296,"有道")</f>
        <v/>
      </c>
    </row>
    <row customHeight="1" ht="42.75" r="3297">
      <c r="B3297" s="1" t="inlineStr">
        <is>
          <t>saline</t>
        </is>
      </c>
      <c r="C3297" s="7">
        <f>"adj. 盐的，含盐的；咸的；含氯化钠的；含镁盐类的；含碱金属盐类的"&amp;CHAR(10)&amp;"n. 盐溶液；生理盐水"</f>
        <v/>
      </c>
      <c r="G3297" s="18">
        <f>HYPERLINK("D:\python\英语学习\voices\"&amp;B3297&amp;"_1.mp3","BrE")</f>
        <v/>
      </c>
      <c r="H3297" s="18">
        <f>HYPERLINK("D:\python\英语学习\voices\"&amp;B3297&amp;"_2.mp3","AmE")</f>
        <v/>
      </c>
      <c r="I3297" s="18">
        <f>HYPERLINK("http://dict.youdao.com/w/"&amp;B3297,"有道")</f>
        <v/>
      </c>
    </row>
    <row r="3298">
      <c r="B3298" s="1" t="inlineStr">
        <is>
          <t>salinity</t>
        </is>
      </c>
      <c r="C3298" s="7">
        <f>"n. 盐度；盐分；盐性"</f>
        <v/>
      </c>
      <c r="G3298" s="18">
        <f>HYPERLINK("D:\python\英语学习\voices\"&amp;B3298&amp;"_1.mp3","BrE")</f>
        <v/>
      </c>
      <c r="H3298" s="18">
        <f>HYPERLINK("D:\python\英语学习\voices\"&amp;B3298&amp;"_2.mp3","AmE")</f>
        <v/>
      </c>
      <c r="I3298" s="18">
        <f>HYPERLINK("http://dict.youdao.com/w/"&amp;B3298,"有道")</f>
        <v/>
      </c>
    </row>
    <row customHeight="1" ht="42.75" r="3299">
      <c r="B3299" s="1" t="inlineStr">
        <is>
          <t>crater</t>
        </is>
      </c>
      <c r="C3299" s="7">
        <f>"n. 火山口；弹坑"&amp;CHAR(10)&amp;"vt. 在…上形成坑；取消；毁坏"&amp;CHAR(10)&amp;"vi. 形成坑；消亡"</f>
        <v/>
      </c>
      <c r="G3299" s="18">
        <f>HYPERLINK("D:\python\英语学习\voices\"&amp;B3299&amp;"_1.mp3","BrE")</f>
        <v/>
      </c>
      <c r="H3299" s="18">
        <f>HYPERLINK("D:\python\英语学习\voices\"&amp;B3299&amp;"_2.mp3","AmE")</f>
        <v/>
      </c>
      <c r="I3299" s="18">
        <f>HYPERLINK("http://dict.youdao.com/w/"&amp;B3299,"有道")</f>
        <v/>
      </c>
    </row>
    <row r="3300">
      <c r="B3300" s="1" t="inlineStr">
        <is>
          <t>seismic</t>
        </is>
      </c>
      <c r="C3300" s="7">
        <f>"adj. 地震的；因地震而引起的"</f>
        <v/>
      </c>
      <c r="G3300" s="18">
        <f>HYPERLINK("D:\python\英语学习\voices\"&amp;B3300&amp;"_1.mp3","BrE")</f>
        <v/>
      </c>
      <c r="H3300" s="18">
        <f>HYPERLINK("D:\python\英语学习\voices\"&amp;B3300&amp;"_2.mp3","AmE")</f>
        <v/>
      </c>
      <c r="I3300" s="18">
        <f>HYPERLINK("http://dict.youdao.com/w/"&amp;B3300,"有道")</f>
        <v/>
      </c>
    </row>
    <row customHeight="1" ht="57" r="3301">
      <c r="A3301" s="1" t="inlineStr">
        <is>
          <t>unnecessary</t>
        </is>
      </c>
      <c r="B3301" s="1" t="inlineStr">
        <is>
          <t>mantle</t>
        </is>
      </c>
      <c r="C3301" s="7">
        <f>"n. 地幔；斗篷；覆盖物"&amp;CHAR(10)&amp;"vi. 覆盖；脸红"&amp;CHAR(10)&amp;"vt. 覆盖"&amp;CHAR(10)&amp;"n. (Mantle)人名；(英、意)曼特尔"</f>
        <v/>
      </c>
      <c r="G3301" s="18">
        <f>HYPERLINK("D:\python\英语学习\voices\"&amp;B3301&amp;"_1.mp3","BrE")</f>
        <v/>
      </c>
      <c r="H3301" s="18">
        <f>HYPERLINK("D:\python\英语学习\voices\"&amp;B3301&amp;"_2.mp3","AmE")</f>
        <v/>
      </c>
      <c r="I3301" s="18">
        <f>HYPERLINK("http://dict.youdao.com/w/"&amp;B3301,"有道")</f>
        <v/>
      </c>
    </row>
    <row r="3302">
      <c r="A3302" s="1" t="inlineStr">
        <is>
          <t>unnecessary</t>
        </is>
      </c>
      <c r="B3302" s="1" t="inlineStr">
        <is>
          <t>herbivorous</t>
        </is>
      </c>
      <c r="C3302" s="7">
        <f>"adj. [动] 食草的"</f>
        <v/>
      </c>
      <c r="G3302" s="18">
        <f>HYPERLINK("D:\python\英语学习\voices\"&amp;B3302&amp;"_1.mp3","BrE")</f>
        <v/>
      </c>
      <c r="H3302" s="18">
        <f>HYPERLINK("D:\python\英语学习\voices\"&amp;B3302&amp;"_2.mp3","AmE")</f>
        <v/>
      </c>
      <c r="I3302" s="18">
        <f>HYPERLINK("http://dict.youdao.com/w/"&amp;B3302,"有道")</f>
        <v/>
      </c>
    </row>
    <row customHeight="1" ht="42.75" r="3303">
      <c r="B3303" s="1" t="inlineStr">
        <is>
          <t>primate</t>
        </is>
      </c>
      <c r="C3303" s="7">
        <f>"n. 灵长目动物（包括人、猴子等）；大主教；首领"&amp;CHAR(10)&amp;"adj. 灵长目动物的；大主教的"</f>
        <v/>
      </c>
      <c r="G3303" s="18">
        <f>HYPERLINK("D:\python\英语学习\voices\"&amp;B3303&amp;"_1.mp3","BrE")</f>
        <v/>
      </c>
      <c r="H3303" s="18">
        <f>HYPERLINK("D:\python\英语学习\voices\"&amp;B3303&amp;"_2.mp3","AmE")</f>
        <v/>
      </c>
      <c r="I3303" s="18">
        <f>HYPERLINK("http://dict.youdao.com/w/"&amp;B3303,"有道")</f>
        <v/>
      </c>
    </row>
    <row customHeight="1" ht="28.5" r="3304">
      <c r="B3304" s="1" t="inlineStr">
        <is>
          <t>synthetic</t>
        </is>
      </c>
      <c r="C3304" s="7">
        <f>"adj. 综合的；合成的，人造的"&amp;CHAR(10)&amp;"n. 合成物"</f>
        <v/>
      </c>
      <c r="G3304" s="18">
        <f>HYPERLINK("D:\python\英语学习\voices\"&amp;B3304&amp;"_1.mp3","BrE")</f>
        <v/>
      </c>
      <c r="H3304" s="18">
        <f>HYPERLINK("D:\python\英语学习\voices\"&amp;B3304&amp;"_2.mp3","AmE")</f>
        <v/>
      </c>
      <c r="I3304" s="18">
        <f>HYPERLINK("http://dict.youdao.com/w/"&amp;B3304,"有道")</f>
        <v/>
      </c>
    </row>
    <row customHeight="1" ht="42.75" r="3305">
      <c r="B3305" s="1" t="inlineStr">
        <is>
          <t>silt</t>
        </is>
      </c>
      <c r="C3305" s="7">
        <f>"n. 淤泥，泥沙；煤粉；残渣"&amp;CHAR(10)&amp;"vi. 淤塞，充塞；为淤泥堵塞"&amp;CHAR(10)&amp;"vt. 使淤塞；充塞"</f>
        <v/>
      </c>
      <c r="G3305" s="18">
        <f>HYPERLINK("D:\python\英语学习\voices\"&amp;B3305&amp;"_1.mp3","BrE")</f>
        <v/>
      </c>
      <c r="H3305" s="18">
        <f>HYPERLINK("D:\python\英语学习\voices\"&amp;B3305&amp;"_2.mp3","AmE")</f>
        <v/>
      </c>
      <c r="I3305" s="18">
        <f>HYPERLINK("http://dict.youdao.com/w/"&amp;B3305,"有道")</f>
        <v/>
      </c>
    </row>
    <row customHeight="1" ht="42.75" r="3306">
      <c r="B3306" s="1" t="inlineStr">
        <is>
          <t>aquatic</t>
        </is>
      </c>
      <c r="C3306" s="7">
        <f>"adj. 水生的；水栖的；在水中或水面进行的"&amp;CHAR(10)&amp;"n. 水上运动；水生植物或动物"&amp;CHAR(10)&amp;"n. (Aquatic)人名；(法)阿卡蒂克"</f>
        <v/>
      </c>
      <c r="G3306" s="18">
        <f>HYPERLINK("D:\python\英语学习\voices\"&amp;B3306&amp;"_1.mp3","BrE")</f>
        <v/>
      </c>
      <c r="H3306" s="18">
        <f>HYPERLINK("D:\python\英语学习\voices\"&amp;B3306&amp;"_2.mp3","AmE")</f>
        <v/>
      </c>
      <c r="I3306" s="18">
        <f>HYPERLINK("http://dict.youdao.com/w/"&amp;B3306,"有道")</f>
        <v/>
      </c>
    </row>
    <row r="3307">
      <c r="B3307" s="1" t="inlineStr">
        <is>
          <t>molecule</t>
        </is>
      </c>
      <c r="C3307" s="7">
        <f>"n. [化学] 分子；微小颗粒，微粒"</f>
        <v/>
      </c>
      <c r="G3307" s="18">
        <f>HYPERLINK("D:\python\英语学习\voices\"&amp;B3307&amp;"_1.mp3","BrE")</f>
        <v/>
      </c>
      <c r="H3307" s="18">
        <f>HYPERLINK("D:\python\英语学习\voices\"&amp;B3307&amp;"_2.mp3","AmE")</f>
        <v/>
      </c>
      <c r="I3307" s="18">
        <f>HYPERLINK("http://dict.youdao.com/w/"&amp;B3307,"有道")</f>
        <v/>
      </c>
    </row>
    <row customHeight="1" ht="28.5" r="3308">
      <c r="B3308" s="1" t="inlineStr">
        <is>
          <t>plantation</t>
        </is>
      </c>
      <c r="C3308" s="7">
        <f>"n. 栽植；殖民；大农场"&amp;CHAR(10)&amp;"adj. 适用于种植园或热带、亚热带国家的"</f>
        <v/>
      </c>
      <c r="G3308" s="18">
        <f>HYPERLINK("D:\python\英语学习\voices\"&amp;B3308&amp;"_1.mp3","BrE")</f>
        <v/>
      </c>
      <c r="H3308" s="18">
        <f>HYPERLINK("D:\python\英语学习\voices\"&amp;B3308&amp;"_2.mp3","AmE")</f>
        <v/>
      </c>
      <c r="I3308" s="18">
        <f>HYPERLINK("http://dict.youdao.com/w/"&amp;B3308,"有道")</f>
        <v/>
      </c>
    </row>
    <row customHeight="1" ht="28.5" r="3309">
      <c r="B3309" s="1" t="inlineStr">
        <is>
          <t>convict</t>
        </is>
      </c>
      <c r="C3309" s="7">
        <f>"vt. 证明…有罪；宣告…有罪"&amp;CHAR(10)&amp;"n. 罪犯"</f>
        <v/>
      </c>
      <c r="G3309" s="18">
        <f>HYPERLINK("D:\python\英语学习\voices\"&amp;B3309&amp;"_1.mp3","BrE")</f>
        <v/>
      </c>
      <c r="H3309" s="18">
        <f>HYPERLINK("D:\python\英语学习\voices\"&amp;B3309&amp;"_2.mp3","AmE")</f>
        <v/>
      </c>
      <c r="I3309" s="18">
        <f>HYPERLINK("http://dict.youdao.com/w/"&amp;B3309,"有道")</f>
        <v/>
      </c>
    </row>
    <row customHeight="1" ht="42.75" r="3310">
      <c r="B3310" s="1" t="inlineStr">
        <is>
          <t>writhe</t>
        </is>
      </c>
      <c r="C3310" s="7">
        <f>"vi. 翻滚；蠕动"&amp;CHAR(10)&amp;"vt. 扭曲；扭动"&amp;CHAR(10)&amp;"n. 翻滚；扭动；苦恼"</f>
        <v/>
      </c>
      <c r="G3310" s="18">
        <f>HYPERLINK("D:\python\英语学习\voices\"&amp;B3310&amp;"_1.mp3","BrE")</f>
        <v/>
      </c>
      <c r="H3310" s="18">
        <f>HYPERLINK("D:\python\英语学习\voices\"&amp;B3310&amp;"_2.mp3","AmE")</f>
        <v/>
      </c>
      <c r="I3310" s="18">
        <f>HYPERLINK("http://dict.youdao.com/w/"&amp;B3310,"有道")</f>
        <v/>
      </c>
    </row>
    <row customHeight="1" ht="28.5" r="3311">
      <c r="B3311" s="1" t="inlineStr">
        <is>
          <t>burgeon</t>
        </is>
      </c>
      <c r="C3311" s="7">
        <f>"vi. 萌芽, 发芽；迅速增长"&amp;CHAR(10)&amp;"n. 芽, 嫩枝"</f>
        <v/>
      </c>
      <c r="G3311" s="18">
        <f>HYPERLINK("D:\python\英语学习\voices\"&amp;B3311&amp;"_1.mp3","BrE")</f>
        <v/>
      </c>
      <c r="H3311" s="18">
        <f>HYPERLINK("D:\python\英语学习\voices\"&amp;B3311&amp;"_2.mp3","AmE")</f>
        <v/>
      </c>
      <c r="I3311" s="18">
        <f>HYPERLINK("http://dict.youdao.com/w/"&amp;B3311,"有道")</f>
        <v/>
      </c>
    </row>
    <row r="3312">
      <c r="B3312" s="1" t="inlineStr">
        <is>
          <t>rehabilitation</t>
        </is>
      </c>
      <c r="C3312" s="7">
        <f>"n. 复原"</f>
        <v/>
      </c>
      <c r="G3312" s="18">
        <f>HYPERLINK("D:\python\英语学习\voices\"&amp;B3312&amp;"_1.mp3","BrE")</f>
        <v/>
      </c>
      <c r="H3312" s="18">
        <f>HYPERLINK("D:\python\英语学习\voices\"&amp;B3312&amp;"_2.mp3","AmE")</f>
        <v/>
      </c>
      <c r="I3312" s="18">
        <f>HYPERLINK("http://dict.youdao.com/w/"&amp;B3312,"有道")</f>
        <v/>
      </c>
    </row>
    <row customHeight="1" ht="28.5" r="3313">
      <c r="B3313" s="1" t="inlineStr">
        <is>
          <t>ameliorate</t>
        </is>
      </c>
      <c r="C3313" s="7">
        <f>"vt. 改善；减轻（痛苦等）；改良"&amp;CHAR(10)&amp;"vi. 变得更好"</f>
        <v/>
      </c>
      <c r="G3313" s="18">
        <f>HYPERLINK("D:\python\英语学习\voices\"&amp;B3313&amp;"_1.mp3","BrE")</f>
        <v/>
      </c>
      <c r="H3313" s="18">
        <f>HYPERLINK("D:\python\英语学习\voices\"&amp;B3313&amp;"_2.mp3","AmE")</f>
        <v/>
      </c>
      <c r="I3313" s="18">
        <f>HYPERLINK("http://dict.youdao.com/w/"&amp;B3313,"有道")</f>
        <v/>
      </c>
    </row>
    <row r="3314">
      <c r="B3314" s="1" t="inlineStr">
        <is>
          <t>ferromagnetic</t>
        </is>
      </c>
      <c r="C3314" s="7">
        <f>"adj. [物] 铁磁的；铁磁体"</f>
        <v/>
      </c>
      <c r="G3314" s="18">
        <f>HYPERLINK("D:\python\英语学习\voices\"&amp;B3314&amp;"_1.mp3","BrE")</f>
        <v/>
      </c>
      <c r="H3314" s="18">
        <f>HYPERLINK("D:\python\英语学习\voices\"&amp;B3314&amp;"_2.mp3","AmE")</f>
        <v/>
      </c>
      <c r="I3314" s="18">
        <f>HYPERLINK("http://dict.youdao.com/w/"&amp;B3314,"有道")</f>
        <v/>
      </c>
    </row>
    <row r="3315">
      <c r="B3315" s="1" t="inlineStr">
        <is>
          <t>temperate</t>
        </is>
      </c>
      <c r="C3315" s="7">
        <f>"adj. 温和的；适度的；有节制的"</f>
        <v/>
      </c>
      <c r="G3315" s="18">
        <f>HYPERLINK("D:\python\英语学习\voices\"&amp;B3315&amp;"_1.mp3","BrE")</f>
        <v/>
      </c>
      <c r="H3315" s="18">
        <f>HYPERLINK("D:\python\英语学习\voices\"&amp;B3315&amp;"_2.mp3","AmE")</f>
        <v/>
      </c>
      <c r="I3315" s="18">
        <f>HYPERLINK("http://dict.youdao.com/w/"&amp;B3315,"有道")</f>
        <v/>
      </c>
    </row>
    <row r="3316">
      <c r="B3316" s="1" t="inlineStr">
        <is>
          <t>gregarious</t>
        </is>
      </c>
      <c r="C3316" s="7">
        <f>"adj. 社交的；群居的"</f>
        <v/>
      </c>
      <c r="G3316" s="18">
        <f>HYPERLINK("D:\python\英语学习\voices\"&amp;B3316&amp;"_1.mp3","BrE")</f>
        <v/>
      </c>
      <c r="H3316" s="18">
        <f>HYPERLINK("D:\python\英语学习\voices\"&amp;B3316&amp;"_2.mp3","AmE")</f>
        <v/>
      </c>
      <c r="I3316" s="18">
        <f>HYPERLINK("http://dict.youdao.com/w/"&amp;B3316,"有道")</f>
        <v/>
      </c>
    </row>
    <row r="3317">
      <c r="B3317" s="1" t="inlineStr">
        <is>
          <t>sediment</t>
        </is>
      </c>
      <c r="C3317" s="7">
        <f>"n. 沉积；沉淀物"</f>
        <v/>
      </c>
      <c r="G3317" s="18">
        <f>HYPERLINK("D:\python\英语学习\voices\"&amp;B3317&amp;"_1.mp3","BrE")</f>
        <v/>
      </c>
      <c r="H3317" s="18">
        <f>HYPERLINK("D:\python\英语学习\voices\"&amp;B3317&amp;"_2.mp3","AmE")</f>
        <v/>
      </c>
      <c r="I3317" s="18">
        <f>HYPERLINK("http://dict.youdao.com/w/"&amp;B3317,"有道")</f>
        <v/>
      </c>
    </row>
    <row r="3318">
      <c r="B3318" s="1" t="inlineStr">
        <is>
          <t>hibernate</t>
        </is>
      </c>
      <c r="C3318" s="7">
        <f>"vi. 过冬；（动物）冬眠；（人等）避寒"</f>
        <v/>
      </c>
      <c r="G3318" s="18">
        <f>HYPERLINK("D:\python\英语学习\voices\"&amp;B3318&amp;"_1.mp3","BrE")</f>
        <v/>
      </c>
      <c r="H3318" s="18">
        <f>HYPERLINK("D:\python\英语学习\voices\"&amp;B3318&amp;"_2.mp3","AmE")</f>
        <v/>
      </c>
      <c r="I3318" s="18">
        <f>HYPERLINK("http://dict.youdao.com/w/"&amp;B3318,"有道")</f>
        <v/>
      </c>
    </row>
    <row r="3319">
      <c r="B3319" s="1" t="inlineStr">
        <is>
          <t>frigid</t>
        </is>
      </c>
      <c r="C3319" s="7">
        <f>"adj. 寒冷的，严寒的；冷淡的"</f>
        <v/>
      </c>
      <c r="G3319" s="18">
        <f>HYPERLINK("D:\python\英语学习\voices\"&amp;B3319&amp;"_1.mp3","BrE")</f>
        <v/>
      </c>
      <c r="H3319" s="18">
        <f>HYPERLINK("D:\python\英语学习\voices\"&amp;B3319&amp;"_2.mp3","AmE")</f>
        <v/>
      </c>
      <c r="I3319" s="18">
        <f>HYPERLINK("http://dict.youdao.com/w/"&amp;B3319,"有道")</f>
        <v/>
      </c>
    </row>
    <row r="3320">
      <c r="B3320" s="1" t="inlineStr">
        <is>
          <t>symbiosis</t>
        </is>
      </c>
      <c r="C3320" s="7">
        <f>"n. [生态] 共生；合作关系；共栖"</f>
        <v/>
      </c>
      <c r="G3320" s="18">
        <f>HYPERLINK("D:\python\英语学习\voices\"&amp;B3320&amp;"_1.mp3","BrE")</f>
        <v/>
      </c>
      <c r="H3320" s="18">
        <f>HYPERLINK("D:\python\英语学习\voices\"&amp;B3320&amp;"_2.mp3","AmE")</f>
        <v/>
      </c>
      <c r="I3320" s="18">
        <f>HYPERLINK("http://dict.youdao.com/w/"&amp;B3320,"有道")</f>
        <v/>
      </c>
    </row>
    <row r="3321">
      <c r="B3321" s="1" t="inlineStr">
        <is>
          <t>cheerless</t>
        </is>
      </c>
      <c r="C3321" s="7">
        <f>"adj. 阴郁的；惨淡的，无精打采的"</f>
        <v/>
      </c>
      <c r="G3321" s="18">
        <f>HYPERLINK("D:\python\英语学习\voices\"&amp;B3321&amp;"_1.mp3","BrE")</f>
        <v/>
      </c>
      <c r="H3321" s="18">
        <f>HYPERLINK("D:\python\英语学习\voices\"&amp;B3321&amp;"_2.mp3","AmE")</f>
        <v/>
      </c>
      <c r="I3321" s="18">
        <f>HYPERLINK("http://dict.youdao.com/w/"&amp;B3321,"有道")</f>
        <v/>
      </c>
    </row>
    <row r="3322">
      <c r="B3322" s="1" t="inlineStr">
        <is>
          <t>prodigious</t>
        </is>
      </c>
      <c r="C3322" s="7">
        <f>"adj. 惊人的，异常的，奇妙的；巨大的"</f>
        <v/>
      </c>
      <c r="G3322" s="18">
        <f>HYPERLINK("D:\python\英语学习\voices\"&amp;B3322&amp;"_1.mp3","BrE")</f>
        <v/>
      </c>
      <c r="H3322" s="18">
        <f>HYPERLINK("D:\python\英语学习\voices\"&amp;B3322&amp;"_2.mp3","AmE")</f>
        <v/>
      </c>
      <c r="I3322" s="18">
        <f>HYPERLINK("http://dict.youdao.com/w/"&amp;B3322,"有道")</f>
        <v/>
      </c>
    </row>
    <row customHeight="1" ht="57" r="3323">
      <c r="B3323" s="1" t="inlineStr">
        <is>
          <t>amphibian</t>
        </is>
      </c>
      <c r="C3323" s="7">
        <f>"n. [脊椎] 两栖动物；水陆两用飞机；具有双重性格的人"&amp;CHAR(10)&amp;"adj. 两栖类的；[车辆] 水陆两用的；具有双重性格的"</f>
        <v/>
      </c>
      <c r="G3323" s="18">
        <f>HYPERLINK("D:\python\英语学习\voices\"&amp;B3323&amp;"_1.mp3","BrE")</f>
        <v/>
      </c>
      <c r="H3323" s="18">
        <f>HYPERLINK("D:\python\英语学习\voices\"&amp;B3323&amp;"_2.mp3","AmE")</f>
        <v/>
      </c>
      <c r="I3323" s="18">
        <f>HYPERLINK("http://dict.youdao.com/w/"&amp;B3323,"有道")</f>
        <v/>
      </c>
    </row>
    <row customHeight="1" ht="28.5" r="3324">
      <c r="A3324" s="1" t="inlineStr">
        <is>
          <t>unnecessary</t>
        </is>
      </c>
      <c r="B3324" s="1" t="inlineStr">
        <is>
          <t>asteroid</t>
        </is>
      </c>
      <c r="C3324" s="7">
        <f>"n. [天] 小行星；[无脊椎] 海盘车；小游星"&amp;CHAR(10)&amp;"adj. 星状的"</f>
        <v/>
      </c>
      <c r="G3324" s="18">
        <f>HYPERLINK("D:\python\英语学习\voices\"&amp;B3324&amp;"_1.mp3","BrE")</f>
        <v/>
      </c>
      <c r="H3324" s="18">
        <f>HYPERLINK("D:\python\英语学习\voices\"&amp;B3324&amp;"_2.mp3","AmE")</f>
        <v/>
      </c>
      <c r="I3324" s="18">
        <f>HYPERLINK("http://dict.youdao.com/w/"&amp;B3324,"有道")</f>
        <v/>
      </c>
    </row>
    <row customHeight="1" ht="28.5" r="3325">
      <c r="B3325" s="1" t="inlineStr">
        <is>
          <t>celestial</t>
        </is>
      </c>
      <c r="C3325" s="7">
        <f>"adj. 天上的，天空的"&amp;CHAR(10)&amp;"n. 神仙，天堂里的居民"</f>
        <v/>
      </c>
      <c r="G3325" s="18">
        <f>HYPERLINK("D:\python\英语学习\voices\"&amp;B3325&amp;"_1.mp3","BrE")</f>
        <v/>
      </c>
      <c r="H3325" s="18">
        <f>HYPERLINK("D:\python\英语学习\voices\"&amp;B3325&amp;"_2.mp3","AmE")</f>
        <v/>
      </c>
      <c r="I3325" s="18">
        <f>HYPERLINK("http://dict.youdao.com/w/"&amp;B3325,"有道")</f>
        <v/>
      </c>
    </row>
    <row r="3326">
      <c r="A3326" s="1" t="inlineStr">
        <is>
          <t>unnecessary</t>
        </is>
      </c>
      <c r="B3326" s="1" t="inlineStr">
        <is>
          <t>topography</t>
        </is>
      </c>
      <c r="C3326" s="7">
        <f>"n. 地势；地形学；地志"</f>
        <v/>
      </c>
      <c r="G3326" s="18">
        <f>HYPERLINK("D:\python\英语学习\voices\"&amp;B3326&amp;"_1.mp3","BrE")</f>
        <v/>
      </c>
      <c r="H3326" s="18">
        <f>HYPERLINK("D:\python\英语学习\voices\"&amp;B3326&amp;"_2.mp3","AmE")</f>
        <v/>
      </c>
      <c r="I3326" s="18">
        <f>HYPERLINK("http://dict.youdao.com/w/"&amp;B3326,"有道")</f>
        <v/>
      </c>
    </row>
    <row r="3327">
      <c r="A3327" s="1" t="inlineStr">
        <is>
          <t>unnecessary</t>
        </is>
      </c>
      <c r="B3327" s="1" t="inlineStr">
        <is>
          <t>meteorology</t>
        </is>
      </c>
      <c r="C3327" s="17">
        <f>"n. 气象状态，气象学"</f>
        <v/>
      </c>
      <c r="G3327" s="18">
        <f>HYPERLINK("D:\python\英语学习\voices\"&amp;B3327&amp;"_1.mp3","BrE")</f>
        <v/>
      </c>
      <c r="H3327" s="18">
        <f>HYPERLINK("D:\python\英语学习\voices\"&amp;B3327&amp;"_2.mp3","AmE")</f>
        <v/>
      </c>
      <c r="I3327" s="18">
        <f>HYPERLINK("http://dict.youdao.com/w/"&amp;B3327,"有道")</f>
        <v/>
      </c>
    </row>
    <row r="3328">
      <c r="B3328" s="1" t="inlineStr">
        <is>
          <t>carnivore</t>
        </is>
      </c>
      <c r="C3328" s="7">
        <f>"n. [动] 食肉动物；食虫植物"</f>
        <v/>
      </c>
      <c r="G3328" s="18">
        <f>HYPERLINK("D:\python\英语学习\voices\"&amp;B3328&amp;"_1.mp3","BrE")</f>
        <v/>
      </c>
      <c r="H3328" s="18">
        <f>HYPERLINK("D:\python\英语学习\voices\"&amp;B3328&amp;"_2.mp3","AmE")</f>
        <v/>
      </c>
      <c r="I3328" s="18">
        <f>HYPERLINK("http://dict.youdao.com/w/"&amp;B3328,"有道")</f>
        <v/>
      </c>
    </row>
    <row customHeight="1" ht="28.5" r="3329">
      <c r="B3329" s="1" t="inlineStr">
        <is>
          <t>depreciate</t>
        </is>
      </c>
      <c r="C3329" s="7">
        <f>"vt. 使贬值；贬低；轻视"&amp;CHAR(10)&amp;"vi. 贬值；轻视；贬低"</f>
        <v/>
      </c>
      <c r="G3329" s="18">
        <f>HYPERLINK("D:\python\英语学习\voices\"&amp;B3329&amp;"_1.mp3","BrE")</f>
        <v/>
      </c>
      <c r="H3329" s="18">
        <f>HYPERLINK("D:\python\英语学习\voices\"&amp;B3329&amp;"_2.mp3","AmE")</f>
        <v/>
      </c>
      <c r="I3329" s="18">
        <f>HYPERLINK("http://dict.youdao.com/w/"&amp;B3329,"有道")</f>
        <v/>
      </c>
    </row>
    <row customHeight="1" ht="28.5" r="3330">
      <c r="B3330" s="1" t="inlineStr">
        <is>
          <t>mandatory</t>
        </is>
      </c>
      <c r="C3330" s="7">
        <f>"adj. 强制的；托管的；命令的"&amp;CHAR(10)&amp;"n. 受托者（等于mandatary）"</f>
        <v/>
      </c>
      <c r="G3330" s="18">
        <f>HYPERLINK("D:\python\英语学习\voices\"&amp;B3330&amp;"_1.mp3","BrE")</f>
        <v/>
      </c>
      <c r="H3330" s="18">
        <f>HYPERLINK("D:\python\英语学习\voices\"&amp;B3330&amp;"_2.mp3","AmE")</f>
        <v/>
      </c>
      <c r="I3330" s="18">
        <f>HYPERLINK("http://dict.youdao.com/w/"&amp;B3330,"有道")</f>
        <v/>
      </c>
    </row>
    <row r="3331">
      <c r="B3331" s="1" t="inlineStr">
        <is>
          <t>pedagogy</t>
        </is>
      </c>
      <c r="C3331" s="7">
        <f>"n. 教育；教育学；教授法"</f>
        <v/>
      </c>
      <c r="G3331" s="18">
        <f>HYPERLINK("D:\python\英语学习\voices\"&amp;B3331&amp;"_1.mp3","BrE")</f>
        <v/>
      </c>
      <c r="H3331" s="18">
        <f>HYPERLINK("D:\python\英语学习\voices\"&amp;B3331&amp;"_2.mp3","AmE")</f>
        <v/>
      </c>
      <c r="I3331" s="18">
        <f>HYPERLINK("http://dict.youdao.com/w/"&amp;B3331,"有道")</f>
        <v/>
      </c>
    </row>
    <row r="3332">
      <c r="B3332" s="1" t="inlineStr">
        <is>
          <t>stimulus</t>
        </is>
      </c>
      <c r="C3332" s="7">
        <f>"n. 刺激；激励；刺激物"</f>
        <v/>
      </c>
      <c r="G3332" s="18">
        <f>HYPERLINK("D:\python\英语学习\voices\"&amp;B3332&amp;"_1.mp3","BrE")</f>
        <v/>
      </c>
      <c r="H3332" s="18">
        <f>HYPERLINK("D:\python\英语学习\voices\"&amp;B3332&amp;"_2.mp3","AmE")</f>
        <v/>
      </c>
      <c r="I3332" s="18">
        <f>HYPERLINK("http://dict.youdao.com/w/"&amp;B3332,"有道")</f>
        <v/>
      </c>
    </row>
    <row r="3333">
      <c r="B3333" s="1" t="inlineStr">
        <is>
          <t>philanthropist</t>
        </is>
      </c>
      <c r="C3333" s="17">
        <f>"n. 慈善家，博爱主义者；乐善好施的人"</f>
        <v/>
      </c>
      <c r="E3333" s="6" t="inlineStr">
        <is>
          <t>注意拼写-读准确是拼准确的前提</t>
        </is>
      </c>
      <c r="G3333" s="18">
        <f>HYPERLINK("D:\python\英语学习\voices\"&amp;B3333&amp;"_1.mp3","BrE")</f>
        <v/>
      </c>
      <c r="H3333" s="18">
        <f>HYPERLINK("D:\python\英语学习\voices\"&amp;B3333&amp;"_2.mp3","AmE")</f>
        <v/>
      </c>
      <c r="I3333" s="18">
        <f>HYPERLINK("http://dict.youdao.com/w/"&amp;B3333,"有道")</f>
        <v/>
      </c>
    </row>
    <row r="3334">
      <c r="A3334" s="1" t="inlineStr">
        <is>
          <t>practice</t>
        </is>
      </c>
      <c r="B3334" s="1" t="inlineStr">
        <is>
          <t>nascent</t>
        </is>
      </c>
      <c r="C3334" s="7">
        <f>"adj. 新兴的，初期的，开始存在的，发生中的"</f>
        <v/>
      </c>
      <c r="G3334" s="18">
        <f>HYPERLINK("D:\python\英语学习\voices\"&amp;B3334&amp;"_1.mp3","BrE")</f>
        <v/>
      </c>
      <c r="H3334" s="18">
        <f>HYPERLINK("D:\python\英语学习\voices\"&amp;B3334&amp;"_2.mp3","AmE")</f>
        <v/>
      </c>
      <c r="I3334" s="18">
        <f>HYPERLINK("http://dict.youdao.com/w/"&amp;B3334,"有道")</f>
        <v/>
      </c>
    </row>
    <row r="3335">
      <c r="A3335" s="1" t="inlineStr">
        <is>
          <t>unnecessary</t>
        </is>
      </c>
      <c r="B3335" s="1" t="inlineStr">
        <is>
          <t>mammal</t>
        </is>
      </c>
      <c r="C3335" s="7">
        <f>"n. [脊椎] 哺乳动物"</f>
        <v/>
      </c>
      <c r="G3335" s="18">
        <f>HYPERLINK("D:\python\英语学习\voices\"&amp;B3335&amp;"_1.mp3","BrE")</f>
        <v/>
      </c>
      <c r="H3335" s="18">
        <f>HYPERLINK("D:\python\英语学习\voices\"&amp;B3335&amp;"_2.mp3","AmE")</f>
        <v/>
      </c>
      <c r="I3335" s="18">
        <f>HYPERLINK("http://dict.youdao.com/w/"&amp;B3335,"有道")</f>
        <v/>
      </c>
    </row>
    <row customHeight="1" ht="28.5" r="3336">
      <c r="B3336" s="1" t="inlineStr">
        <is>
          <t>illiterate</t>
        </is>
      </c>
      <c r="C3336" s="7">
        <f>"adj. 文盲的；不识字的；没受教育的"&amp;CHAR(10)&amp;"n. 文盲"</f>
        <v/>
      </c>
      <c r="G3336" s="18">
        <f>HYPERLINK("D:\python\英语学习\voices\"&amp;B3336&amp;"_1.mp3","BrE")</f>
        <v/>
      </c>
      <c r="H3336" s="18">
        <f>HYPERLINK("D:\python\英语学习\voices\"&amp;B3336&amp;"_2.mp3","AmE")</f>
        <v/>
      </c>
      <c r="I3336" s="18">
        <f>HYPERLINK("http://dict.youdao.com/w/"&amp;B3336,"有道")</f>
        <v/>
      </c>
    </row>
    <row r="3337">
      <c r="A3337" s="1" t="inlineStr">
        <is>
          <t>practice</t>
        </is>
      </c>
      <c r="B3337" s="1" t="inlineStr">
        <is>
          <t>nimble</t>
        </is>
      </c>
      <c r="C3337" s="7">
        <f>"adj. 敏捷的；聪明的；敏感的"</f>
        <v/>
      </c>
      <c r="G3337" s="18">
        <f>HYPERLINK("D:\python\英语学习\voices\"&amp;B3337&amp;"_1.mp3","BrE")</f>
        <v/>
      </c>
      <c r="H3337" s="18">
        <f>HYPERLINK("D:\python\英语学习\voices\"&amp;B3337&amp;"_2.mp3","AmE")</f>
        <v/>
      </c>
      <c r="I3337" s="18">
        <f>HYPERLINK("http://dict.youdao.com/w/"&amp;B3337,"有道")</f>
        <v/>
      </c>
    </row>
    <row r="3338">
      <c r="B3338" s="1" t="inlineStr">
        <is>
          <t>distain</t>
        </is>
      </c>
      <c r="C3338" s="7">
        <f>"v. （使）变色；将……弄脏；伤害……的名誉"</f>
        <v/>
      </c>
      <c r="G3338" s="18">
        <f>HYPERLINK("D:\python\英语学习\voices\"&amp;B3338&amp;"_1.mp3","BrE")</f>
        <v/>
      </c>
      <c r="H3338" s="18">
        <f>HYPERLINK("D:\python\英语学习\voices\"&amp;B3338&amp;"_2.mp3","AmE")</f>
        <v/>
      </c>
      <c r="I3338" s="18">
        <f>HYPERLINK("http://dict.youdao.com/w/"&amp;B3338,"有道")</f>
        <v/>
      </c>
    </row>
    <row customHeight="1" ht="28.5" r="3339">
      <c r="B3339" s="1" t="inlineStr">
        <is>
          <t>souvenir</t>
        </is>
      </c>
      <c r="C3339" s="7">
        <f>"n. 纪念品；礼物"&amp;CHAR(10)&amp;"vt. 把…留作纪念"</f>
        <v/>
      </c>
      <c r="G3339" s="18">
        <f>HYPERLINK("D:\python\英语学习\voices\"&amp;B3339&amp;"_1.mp3","BrE")</f>
        <v/>
      </c>
      <c r="H3339" s="18">
        <f>HYPERLINK("D:\python\英语学习\voices\"&amp;B3339&amp;"_2.mp3","AmE")</f>
        <v/>
      </c>
      <c r="I3339" s="18">
        <f>HYPERLINK("http://dict.youdao.com/w/"&amp;B3339,"有道")</f>
        <v/>
      </c>
    </row>
    <row customHeight="1" ht="57" r="3340">
      <c r="B3340" s="1" t="inlineStr">
        <is>
          <t>counterfeit</t>
        </is>
      </c>
      <c r="C3340" s="7">
        <f>"adj. （钱币或商品）伪造的，假冒的；（古旧用法）假装的，虚假的"&amp;CHAR(10)&amp;"v. 伪造，仿造，造假；假装；（文）酷似"&amp;CHAR(10)&amp;"n. 仿冒品，伪造物，赝品"</f>
        <v/>
      </c>
      <c r="G3340" s="18">
        <f>HYPERLINK("D:\python\英语学习\voices\"&amp;B3340&amp;"_1.mp3","BrE")</f>
        <v/>
      </c>
      <c r="H3340" s="18">
        <f>HYPERLINK("D:\python\英语学习\voices\"&amp;B3340&amp;"_2.mp3","AmE")</f>
        <v/>
      </c>
      <c r="I3340" s="18">
        <f>HYPERLINK("http://dict.youdao.com/w/"&amp;B3340,"有道")</f>
        <v/>
      </c>
    </row>
    <row r="3341">
      <c r="B3341" s="1" t="inlineStr">
        <is>
          <t>inefficiency</t>
        </is>
      </c>
      <c r="C3341" s="7">
        <f>"n. 效率低；无效率；无能"</f>
        <v/>
      </c>
      <c r="G3341" s="18">
        <f>HYPERLINK("D:\python\英语学习\voices\"&amp;B3341&amp;"_1.mp3","BrE")</f>
        <v/>
      </c>
      <c r="H3341" s="18">
        <f>HYPERLINK("D:\python\英语学习\voices\"&amp;B3341&amp;"_2.mp3","AmE")</f>
        <v/>
      </c>
      <c r="I3341" s="18">
        <f>HYPERLINK("http://dict.youdao.com/w/"&amp;B3341,"有道")</f>
        <v/>
      </c>
    </row>
    <row r="3342">
      <c r="B3342" s="1" t="inlineStr">
        <is>
          <t>migratory</t>
        </is>
      </c>
      <c r="C3342" s="7">
        <f>"adj. 迁移的；流浪的"</f>
        <v/>
      </c>
      <c r="G3342" s="18">
        <f>HYPERLINK("D:\python\英语学习\voices\"&amp;B3342&amp;"_1.mp3","BrE")</f>
        <v/>
      </c>
      <c r="H3342" s="18">
        <f>HYPERLINK("D:\python\英语学习\voices\"&amp;B3342&amp;"_2.mp3","AmE")</f>
        <v/>
      </c>
      <c r="I3342" s="18">
        <f>HYPERLINK("http://dict.youdao.com/w/"&amp;B3342,"有道")</f>
        <v/>
      </c>
    </row>
    <row customHeight="1" ht="28.5" r="3343">
      <c r="B3343" s="1" t="inlineStr">
        <is>
          <t>sentimental</t>
        </is>
      </c>
      <c r="C3343" s="7">
        <f>"adj. 伤感的；多愁善感的；感情用事的；寓有情感的"</f>
        <v/>
      </c>
      <c r="G3343" s="18">
        <f>HYPERLINK("D:\python\英语学习\voices\"&amp;B3343&amp;"_1.mp3","BrE")</f>
        <v/>
      </c>
      <c r="H3343" s="18">
        <f>HYPERLINK("D:\python\英语学习\voices\"&amp;B3343&amp;"_2.mp3","AmE")</f>
        <v/>
      </c>
      <c r="I3343" s="18">
        <f>HYPERLINK("http://dict.youdao.com/w/"&amp;B3343,"有道")</f>
        <v/>
      </c>
    </row>
    <row r="3344">
      <c r="B3344" s="1" t="inlineStr">
        <is>
          <t>conformity</t>
        </is>
      </c>
      <c r="C3344" s="7">
        <f>"n. 遵守；符合；一致；信奉英国国教"</f>
        <v/>
      </c>
      <c r="G3344" s="18">
        <f>HYPERLINK("D:\python\英语学习\voices\"&amp;B3344&amp;"_1.mp3","BrE")</f>
        <v/>
      </c>
      <c r="H3344" s="18">
        <f>HYPERLINK("D:\python\英语学习\voices\"&amp;B3344&amp;"_2.mp3","AmE")</f>
        <v/>
      </c>
      <c r="I3344" s="18">
        <f>HYPERLINK("http://dict.youdao.com/w/"&amp;B3344,"有道")</f>
        <v/>
      </c>
    </row>
    <row r="3345">
      <c r="B3345" s="1" t="inlineStr">
        <is>
          <t>incongruous</t>
        </is>
      </c>
      <c r="C3345" s="7">
        <f>"adj. 不协调的；不一致的；不和谐的"</f>
        <v/>
      </c>
      <c r="E3345" t="inlineStr">
        <is>
          <t>'=inappropriate</t>
        </is>
      </c>
      <c r="G3345" s="18">
        <f>HYPERLINK("D:\python\英语学习\voices\"&amp;B3345&amp;"_1.mp3","BrE")</f>
        <v/>
      </c>
      <c r="H3345" s="18">
        <f>HYPERLINK("D:\python\英语学习\voices\"&amp;B3345&amp;"_2.mp3","AmE")</f>
        <v/>
      </c>
      <c r="I3345" s="18">
        <f>HYPERLINK("http://dict.youdao.com/w/"&amp;B3345,"有道")</f>
        <v/>
      </c>
    </row>
    <row customHeight="1" ht="28.5" r="3346">
      <c r="B3346" s="1" t="inlineStr">
        <is>
          <t>acute</t>
        </is>
      </c>
      <c r="C3346" s="7">
        <f>"adj. 严重的，[医] 急性的；敏锐的；激烈的；尖声的"</f>
        <v/>
      </c>
      <c r="G3346" s="18">
        <f>HYPERLINK("D:\python\英语学习\voices\"&amp;B3346&amp;"_1.mp3","BrE")</f>
        <v/>
      </c>
      <c r="H3346" s="18">
        <f>HYPERLINK("D:\python\英语学习\voices\"&amp;B3346&amp;"_2.mp3","AmE")</f>
        <v/>
      </c>
      <c r="I3346" s="18">
        <f>HYPERLINK("http://dict.youdao.com/w/"&amp;B3346,"有道")</f>
        <v/>
      </c>
    </row>
    <row customHeight="1" ht="42.75" r="3347">
      <c r="B3347" s="1" t="inlineStr">
        <is>
          <t>prelude</t>
        </is>
      </c>
      <c r="C3347" s="7">
        <f>"n. 前奏；序幕；前奏曲"&amp;CHAR(10)&amp;"vt. 成为…的序幕；演奏…作为前奏曲"&amp;CHAR(10)&amp;"vi. 作为序曲；奏序曲"</f>
        <v/>
      </c>
      <c r="G3347" s="18">
        <f>HYPERLINK("D:\python\英语学习\voices\"&amp;B3347&amp;"_1.mp3","BrE")</f>
        <v/>
      </c>
      <c r="H3347" s="18">
        <f>HYPERLINK("D:\python\英语学习\voices\"&amp;B3347&amp;"_2.mp3","AmE")</f>
        <v/>
      </c>
      <c r="I3347" s="18">
        <f>HYPERLINK("http://dict.youdao.com/w/"&amp;B3347,"有道")</f>
        <v/>
      </c>
    </row>
    <row r="3348">
      <c r="B3348" s="1" t="inlineStr">
        <is>
          <t>luminous</t>
        </is>
      </c>
      <c r="C3348" s="7">
        <f>"adj. 发光的；明亮的；清楚的"</f>
        <v/>
      </c>
      <c r="G3348" s="18">
        <f>HYPERLINK("D:\python\英语学习\voices\"&amp;B3348&amp;"_1.mp3","BrE")</f>
        <v/>
      </c>
      <c r="H3348" s="18">
        <f>HYPERLINK("D:\python\英语学习\voices\"&amp;B3348&amp;"_2.mp3","AmE")</f>
        <v/>
      </c>
      <c r="I3348" s="18">
        <f>HYPERLINK("http://dict.youdao.com/w/"&amp;B3348,"有道")</f>
        <v/>
      </c>
    </row>
    <row customHeight="1" ht="29.1" r="3349">
      <c r="B3349" s="1" t="inlineStr">
        <is>
          <t>belie</t>
        </is>
      </c>
      <c r="C3349" s="7">
        <f>"vt. 掩饰；与…不符；使失望；证明…虚假错误"</f>
        <v/>
      </c>
      <c r="D3349" t="inlineStr">
        <is>
          <t>lie</t>
        </is>
      </c>
      <c r="G3349" s="18">
        <f>HYPERLINK("D:\python\英语学习\voices\"&amp;B3349&amp;"_1.mp3","BrE")</f>
        <v/>
      </c>
      <c r="H3349" s="18">
        <f>HYPERLINK("D:\python\英语学习\voices\"&amp;B3349&amp;"_2.mp3","AmE")</f>
        <v/>
      </c>
      <c r="I3349" s="18">
        <f>HYPERLINK("http://dict.youdao.com/w/"&amp;B3349,"有道")</f>
        <v/>
      </c>
    </row>
    <row r="3350">
      <c r="A3350" t="inlineStr">
        <is>
          <t>practice</t>
        </is>
      </c>
      <c r="B3350" s="1" t="inlineStr">
        <is>
          <t>indigenous</t>
        </is>
      </c>
      <c r="C3350" s="7">
        <f>"adj. 本土的；土著的；国产的；固有的"</f>
        <v/>
      </c>
      <c r="G3350" s="18">
        <f>HYPERLINK("D:\python\英语学习\voices\"&amp;B3350&amp;"_1.mp3","BrE")</f>
        <v/>
      </c>
      <c r="H3350" s="18">
        <f>HYPERLINK("D:\python\英语学习\voices\"&amp;B3350&amp;"_2.mp3","AmE")</f>
        <v/>
      </c>
      <c r="I3350" s="18">
        <f>HYPERLINK("http://dict.youdao.com/w/"&amp;B3350,"有道")</f>
        <v/>
      </c>
    </row>
    <row customHeight="1" ht="28.5" r="3351">
      <c r="B3351" s="1" t="inlineStr">
        <is>
          <t>superb</t>
        </is>
      </c>
      <c r="C3351" s="7">
        <f>"adj. 极好的；华丽的；宏伟的"&amp;CHAR(10)&amp;"n. (Superb)人名；(罗)苏佩尔布"</f>
        <v/>
      </c>
      <c r="G3351" s="18">
        <f>HYPERLINK("D:\python\英语学习\voices\"&amp;B3351&amp;"_1.mp3","BrE")</f>
        <v/>
      </c>
      <c r="H3351" s="18">
        <f>HYPERLINK("D:\python\英语学习\voices\"&amp;B3351&amp;"_2.mp3","AmE")</f>
        <v/>
      </c>
      <c r="I3351" s="18">
        <f>HYPERLINK("http://dict.youdao.com/w/"&amp;B3351,"有道")</f>
        <v/>
      </c>
    </row>
    <row customHeight="1" ht="28.5" r="3352">
      <c r="B3352" s="1" t="inlineStr">
        <is>
          <t>supersede</t>
        </is>
      </c>
      <c r="C3352" s="7">
        <f>"vt. 取代，代替；紧接着……而到来"&amp;CHAR(10)&amp;"vi. 推迟行动"</f>
        <v/>
      </c>
      <c r="G3352" s="18">
        <f>HYPERLINK("D:\python\英语学习\voices\"&amp;B3352&amp;"_1.mp3","BrE")</f>
        <v/>
      </c>
      <c r="H3352" s="18">
        <f>HYPERLINK("D:\python\英语学习\voices\"&amp;B3352&amp;"_2.mp3","AmE")</f>
        <v/>
      </c>
      <c r="I3352" s="18">
        <f>HYPERLINK("http://dict.youdao.com/w/"&amp;B3352,"有道")</f>
        <v/>
      </c>
    </row>
    <row customHeight="1" ht="71.25" r="3353">
      <c r="B3353" s="1" t="inlineStr">
        <is>
          <t>eclipse</t>
        </is>
      </c>
      <c r="C3353" s="7">
        <f>"n. （天体的）食；日食，月食；（重要性、权势等的）黯然失色；（尤指雄鸭的）羽毛暗淡期；（交配期后不复鲜艳的）非婚羽"&amp;CHAR(10)&amp;"v. 遮住……的光；（诗、文）遮暗；（使）黯然失色"</f>
        <v/>
      </c>
      <c r="G3353" s="18">
        <f>HYPERLINK("D:\python\英语学习\voices\"&amp;B3353&amp;"_1.mp3","BrE")</f>
        <v/>
      </c>
      <c r="H3353" s="18">
        <f>HYPERLINK("D:\python\英语学习\voices\"&amp;B3353&amp;"_2.mp3","AmE")</f>
        <v/>
      </c>
      <c r="I3353" s="18">
        <f>HYPERLINK("http://dict.youdao.com/w/"&amp;B3353,"有道")</f>
        <v/>
      </c>
    </row>
    <row r="3354">
      <c r="B3354" s="1" t="inlineStr">
        <is>
          <t>meditation</t>
        </is>
      </c>
      <c r="C3354" s="7">
        <f>"n. 冥想；沉思，深思；静坐"</f>
        <v/>
      </c>
      <c r="G3354" s="18">
        <f>HYPERLINK("D:\python\英语学习\voices\"&amp;B3354&amp;"_1.mp3","BrE")</f>
        <v/>
      </c>
      <c r="H3354" s="18">
        <f>HYPERLINK("D:\python\英语学习\voices\"&amp;B3354&amp;"_2.mp3","AmE")</f>
        <v/>
      </c>
      <c r="I3354" s="18">
        <f>HYPERLINK("http://dict.youdao.com/w/"&amp;B3354,"有道")</f>
        <v/>
      </c>
    </row>
    <row customHeight="1" ht="71.25" r="3355">
      <c r="A3355" s="1" t="inlineStr">
        <is>
          <t>practice</t>
        </is>
      </c>
      <c r="B3355" s="1" t="inlineStr">
        <is>
          <t>engaged</t>
        </is>
      </c>
      <c r="C3355" s="7">
        <f>"adj. 忙碌的；使用中的；已订婚的；电话占线的；（圆柱）附墙的"&amp;CHAR(10)&amp;"v. 吸引住；雇用；参加；（机器）接合；与（敌人）开战；保证；约定；同……订婚（engage 的过去式和过去分词）"</f>
        <v/>
      </c>
      <c r="G3355" s="18">
        <f>HYPERLINK("D:\python\英语学习\voices\"&amp;B3355&amp;"_1.mp3","BrE")</f>
        <v/>
      </c>
      <c r="H3355" s="18">
        <f>HYPERLINK("D:\python\英语学习\voices\"&amp;B3355&amp;"_2.mp3","AmE")</f>
        <v/>
      </c>
      <c r="I3355" s="18">
        <f>HYPERLINK("http://dict.youdao.com/w/"&amp;B3355,"有道")</f>
        <v/>
      </c>
    </row>
    <row customHeight="1" ht="28.5" r="3356">
      <c r="A3356" s="1" t="inlineStr">
        <is>
          <t>practice</t>
        </is>
      </c>
      <c r="B3356" s="1" t="inlineStr">
        <is>
          <t>dabble</t>
        </is>
      </c>
      <c r="C3356" s="7">
        <f>"vt. 溅湿；浸入水中"&amp;CHAR(10)&amp;"vi. 涉猎；涉足；玩水"</f>
        <v/>
      </c>
      <c r="G3356" s="18">
        <f>HYPERLINK("D:\python\英语学习\voices\"&amp;B3356&amp;"_1.mp3","BrE")</f>
        <v/>
      </c>
      <c r="H3356" s="18">
        <f>HYPERLINK("D:\python\英语学习\voices\"&amp;B3356&amp;"_2.mp3","AmE")</f>
        <v/>
      </c>
      <c r="I3356" s="18">
        <f>HYPERLINK("http://dict.youdao.com/w/"&amp;B3356,"有道")</f>
        <v/>
      </c>
    </row>
    <row r="3357">
      <c r="B3357" s="1" t="inlineStr">
        <is>
          <t>intensified</t>
        </is>
      </c>
      <c r="C3357" s="7">
        <f>"加强的"</f>
        <v/>
      </c>
      <c r="G3357" s="18">
        <f>HYPERLINK("D:\python\英语学习\voices\"&amp;B3357&amp;"_1.mp3","BrE")</f>
        <v/>
      </c>
      <c r="H3357" s="18">
        <f>HYPERLINK("D:\python\英语学习\voices\"&amp;B3357&amp;"_2.mp3","AmE")</f>
        <v/>
      </c>
      <c r="I3357" s="18">
        <f>HYPERLINK("http://dict.youdao.com/w/"&amp;B3357,"有道")</f>
        <v/>
      </c>
    </row>
    <row r="3358">
      <c r="B3358" s="1" t="inlineStr">
        <is>
          <t>groundless</t>
        </is>
      </c>
      <c r="C3358" s="7">
        <f>"adj. 无理由的"</f>
        <v/>
      </c>
      <c r="G3358" s="18">
        <f>HYPERLINK("D:\python\英语学习\voices\"&amp;B3358&amp;"_1.mp3","BrE")</f>
        <v/>
      </c>
      <c r="H3358" s="18">
        <f>HYPERLINK("D:\python\英语学习\voices\"&amp;B3358&amp;"_2.mp3","AmE")</f>
        <v/>
      </c>
      <c r="I3358" s="18">
        <f>HYPERLINK("http://dict.youdao.com/w/"&amp;B3358,"有道")</f>
        <v/>
      </c>
    </row>
    <row r="3359">
      <c r="B3359" s="1" t="inlineStr">
        <is>
          <t>cornerstone</t>
        </is>
      </c>
      <c r="C3359" s="7">
        <f>"n. 基础；柱石；地基"</f>
        <v/>
      </c>
      <c r="G3359" s="18">
        <f>HYPERLINK("D:\python\英语学习\voices\"&amp;B3359&amp;"_1.mp3","BrE")</f>
        <v/>
      </c>
      <c r="H3359" s="18">
        <f>HYPERLINK("D:\python\英语学习\voices\"&amp;B3359&amp;"_2.mp3","AmE")</f>
        <v/>
      </c>
      <c r="I3359" s="18">
        <f>HYPERLINK("http://dict.youdao.com/w/"&amp;B3359,"有道")</f>
        <v/>
      </c>
    </row>
    <row r="3360">
      <c r="B3360" s="1" t="inlineStr">
        <is>
          <t>mainstream</t>
        </is>
      </c>
      <c r="C3360" s="7">
        <f>"n. 主流"</f>
        <v/>
      </c>
      <c r="G3360" s="18">
        <f>HYPERLINK("D:\python\英语学习\voices\"&amp;B3360&amp;"_1.mp3","BrE")</f>
        <v/>
      </c>
      <c r="H3360" s="18">
        <f>HYPERLINK("D:\python\英语学习\voices\"&amp;B3360&amp;"_2.mp3","AmE")</f>
        <v/>
      </c>
      <c r="I3360" s="18">
        <f>HYPERLINK("http://dict.youdao.com/w/"&amp;B3360,"有道")</f>
        <v/>
      </c>
    </row>
    <row customHeight="1" ht="28.5" r="3361">
      <c r="B3361" s="1" t="inlineStr">
        <is>
          <t>legislative</t>
        </is>
      </c>
      <c r="C3361" s="7">
        <f>"adj. 立法的；有立法权的"&amp;CHAR(10)&amp;"n. 立法权；立法机构"</f>
        <v/>
      </c>
      <c r="G3361" s="18">
        <f>HYPERLINK("D:\python\英语学习\voices\"&amp;B3361&amp;"_1.mp3","BrE")</f>
        <v/>
      </c>
      <c r="H3361" s="18">
        <f>HYPERLINK("D:\python\英语学习\voices\"&amp;B3361&amp;"_2.mp3","AmE")</f>
        <v/>
      </c>
      <c r="I3361" s="18">
        <f>HYPERLINK("http://dict.youdao.com/w/"&amp;B3361,"有道")</f>
        <v/>
      </c>
    </row>
    <row r="3362">
      <c r="B3362" s="1" t="inlineStr">
        <is>
          <t>breathtaking</t>
        </is>
      </c>
      <c r="C3362" s="7">
        <f>"adj. 惊人的；惊险的；令人激动的"</f>
        <v/>
      </c>
      <c r="G3362" s="18">
        <f>HYPERLINK("D:\python\英语学习\voices\"&amp;B3362&amp;"_1.mp3","BrE")</f>
        <v/>
      </c>
      <c r="H3362" s="18">
        <f>HYPERLINK("D:\python\英语学习\voices\"&amp;B3362&amp;"_2.mp3","AmE")</f>
        <v/>
      </c>
      <c r="I3362" s="18">
        <f>HYPERLINK("http://dict.youdao.com/w/"&amp;B3362,"有道")</f>
        <v/>
      </c>
    </row>
    <row customHeight="1" ht="29.1" r="3363">
      <c r="B3363" s="1" t="inlineStr">
        <is>
          <t>virtuosity</t>
        </is>
      </c>
      <c r="C3363" s="7">
        <f>"n. 精湛技巧；对艺术品的爱好；艺术爱好者"</f>
        <v/>
      </c>
      <c r="G3363" s="18">
        <f>HYPERLINK("D:\python\英语学习\voices\"&amp;B3363&amp;"_1.mp3","BrE")</f>
        <v/>
      </c>
      <c r="H3363" s="18">
        <f>HYPERLINK("D:\python\英语学习\voices\"&amp;B3363&amp;"_2.mp3","AmE")</f>
        <v/>
      </c>
      <c r="I3363" s="18">
        <f>HYPERLINK("http://dict.youdao.com/w/"&amp;B3363,"有道")</f>
        <v/>
      </c>
    </row>
    <row r="3364">
      <c r="B3364" s="1" t="inlineStr">
        <is>
          <t>conjectural</t>
        </is>
      </c>
      <c r="C3364" s="7">
        <f>"adj. 推测的；好推测的"</f>
        <v/>
      </c>
      <c r="G3364" s="18">
        <f>HYPERLINK("D:\python\英语学习\voices\"&amp;B3364&amp;"_1.mp3","BrE")</f>
        <v/>
      </c>
      <c r="H3364" s="18">
        <f>HYPERLINK("D:\python\英语学习\voices\"&amp;B3364&amp;"_2.mp3","AmE")</f>
        <v/>
      </c>
      <c r="I3364" s="18">
        <f>HYPERLINK("http://dict.youdao.com/w/"&amp;B3364,"有道")</f>
        <v/>
      </c>
    </row>
    <row customHeight="1" ht="29.1" r="3365">
      <c r="B3365" s="1" t="inlineStr">
        <is>
          <t>skeptical</t>
        </is>
      </c>
      <c r="C3365" s="7">
        <f>"adj. 怀疑的；（哲学）怀疑论的，不可知论的"</f>
        <v/>
      </c>
      <c r="G3365" s="18">
        <f>HYPERLINK("D:\python\英语学习\voices\"&amp;B3365&amp;"_1.mp3","BrE")</f>
        <v/>
      </c>
      <c r="H3365" s="18">
        <f>HYPERLINK("D:\python\英语学习\voices\"&amp;B3365&amp;"_2.mp3","AmE")</f>
        <v/>
      </c>
      <c r="I3365" s="18">
        <f>HYPERLINK("http://dict.youdao.com/w/"&amp;B3365,"有道")</f>
        <v/>
      </c>
    </row>
    <row r="3366">
      <c r="B3366" s="1" t="inlineStr">
        <is>
          <t>skepticism</t>
        </is>
      </c>
      <c r="C3366" s="7">
        <f>"n. 怀疑论；怀疑的态度"</f>
        <v/>
      </c>
      <c r="G3366" s="18">
        <f>HYPERLINK("D:\python\英语学习\voices\"&amp;B3366&amp;"_1.mp3","BrE")</f>
        <v/>
      </c>
      <c r="H3366" s="18">
        <f>HYPERLINK("D:\python\英语学习\voices\"&amp;B3366&amp;"_2.mp3","AmE")</f>
        <v/>
      </c>
      <c r="I3366" s="18">
        <f>HYPERLINK("http://dict.youdao.com/w/"&amp;B3366,"有道")</f>
        <v/>
      </c>
    </row>
    <row r="3367">
      <c r="B3367" s="1" t="inlineStr">
        <is>
          <t>authenticity</t>
        </is>
      </c>
      <c r="C3367" s="7">
        <f>"n. 真实性，确实性；可靠性"</f>
        <v/>
      </c>
      <c r="E3367" s="16" t="inlineStr">
        <is>
          <t>重音在ti</t>
        </is>
      </c>
      <c r="G3367" s="18">
        <f>HYPERLINK("D:\python\英语学习\voices\"&amp;B3367&amp;"_1.mp3","BrE")</f>
        <v/>
      </c>
      <c r="H3367" s="18">
        <f>HYPERLINK("D:\python\英语学习\voices\"&amp;B3367&amp;"_2.mp3","AmE")</f>
        <v/>
      </c>
      <c r="I3367" s="18">
        <f>HYPERLINK("http://dict.youdao.com/w/"&amp;B3367,"有道")</f>
        <v/>
      </c>
    </row>
    <row customHeight="1" ht="28.5" r="3368">
      <c r="B3368" s="1" t="inlineStr">
        <is>
          <t>vie</t>
        </is>
      </c>
      <c r="C3368" s="7">
        <f>"v. 争夺，激烈竞争"&amp;CHAR(10)&amp;"n. (Vie) （法、美、挪）维（人名）"</f>
        <v/>
      </c>
      <c r="E3368" s="6" t="inlineStr">
        <is>
          <t>vie-vying vie for/with</t>
        </is>
      </c>
      <c r="G3368" s="18">
        <f>HYPERLINK("D:\python\英语学习\voices\"&amp;B3368&amp;"_1.mp3","BrE")</f>
        <v/>
      </c>
      <c r="H3368" s="18">
        <f>HYPERLINK("D:\python\英语学习\voices\"&amp;B3368&amp;"_2.mp3","AmE")</f>
        <v/>
      </c>
      <c r="I3368" s="18">
        <f>HYPERLINK("http://dict.youdao.com/w/"&amp;B3368,"有道")</f>
        <v/>
      </c>
    </row>
    <row customHeight="1" ht="28.5" r="3369">
      <c r="B3369" s="1" t="inlineStr">
        <is>
          <t>vying</t>
        </is>
      </c>
      <c r="C3369" s="7">
        <f>"adj. 竞争的"&amp;CHAR(10)&amp;"v. 争夺（vie的现在分词）"</f>
        <v/>
      </c>
      <c r="G3369" s="18">
        <f>HYPERLINK("D:\python\英语学习\voices\"&amp;B3369&amp;"_1.mp3","BrE")</f>
        <v/>
      </c>
      <c r="H3369" s="18">
        <f>HYPERLINK("D:\python\英语学习\voices\"&amp;B3369&amp;"_2.mp3","AmE")</f>
        <v/>
      </c>
      <c r="I3369" s="18">
        <f>HYPERLINK("http://dict.youdao.com/w/"&amp;B3369,"有道")</f>
        <v/>
      </c>
    </row>
    <row r="3370">
      <c r="B3370" s="1" t="inlineStr">
        <is>
          <t>trite</t>
        </is>
      </c>
      <c r="C3370" s="7">
        <f>"adj. 陈腐的；平庸的；老一套的"</f>
        <v/>
      </c>
      <c r="E3370" s="6" t="inlineStr">
        <is>
          <t>老生常谈的</t>
        </is>
      </c>
      <c r="G3370" s="18">
        <f>HYPERLINK("D:\python\英语学习\voices\"&amp;B3370&amp;"_1.mp3","BrE")</f>
        <v/>
      </c>
      <c r="H3370" s="18">
        <f>HYPERLINK("D:\python\英语学习\voices\"&amp;B3370&amp;"_2.mp3","AmE")</f>
        <v/>
      </c>
      <c r="I3370" s="18">
        <f>HYPERLINK("http://dict.youdao.com/w/"&amp;B3370,"有道")</f>
        <v/>
      </c>
    </row>
    <row customHeight="1" ht="42.75" r="3371">
      <c r="B3371" s="1" t="inlineStr">
        <is>
          <t>harrowing</t>
        </is>
      </c>
      <c r="C3371" s="7">
        <f>"adj. 痛心的；悲惨的"&amp;CHAR(10)&amp;"v. 使痛苦（harrow的ing形式）；开拓"&amp;CHAR(10)&amp;"n. (Harrowing)人名；(英)哈罗因"</f>
        <v/>
      </c>
      <c r="G3371" s="18">
        <f>HYPERLINK("D:\python\英语学习\voices\"&amp;B3371&amp;"_1.mp3","BrE")</f>
        <v/>
      </c>
      <c r="H3371" s="18">
        <f>HYPERLINK("D:\python\英语学习\voices\"&amp;B3371&amp;"_2.mp3","AmE")</f>
        <v/>
      </c>
      <c r="I3371" s="18">
        <f>HYPERLINK("http://dict.youdao.com/w/"&amp;B3371,"有道")</f>
        <v/>
      </c>
    </row>
    <row r="3372">
      <c r="B3372" s="1" t="inlineStr">
        <is>
          <t>sparse</t>
        </is>
      </c>
      <c r="C3372" s="7">
        <f>"adj. 稀疏的；稀少的"</f>
        <v/>
      </c>
      <c r="G3372" s="18">
        <f>HYPERLINK("D:\python\英语学习\voices\"&amp;B3372&amp;"_1.mp3","BrE")</f>
        <v/>
      </c>
      <c r="H3372" s="18">
        <f>HYPERLINK("D:\python\英语学习\voices\"&amp;B3372&amp;"_2.mp3","AmE")</f>
        <v/>
      </c>
      <c r="I3372" s="18">
        <f>HYPERLINK("http://dict.youdao.com/w/"&amp;B3372,"有道")</f>
        <v/>
      </c>
    </row>
    <row r="3373">
      <c r="B3373" s="1" t="inlineStr">
        <is>
          <t>repudiation</t>
        </is>
      </c>
      <c r="C3373" s="7">
        <f>"n. 否认，拒绝；抛弃，断绝关系"</f>
        <v/>
      </c>
      <c r="E3373" s="6" t="inlineStr">
        <is>
          <t>密码学non-repudiation不可抵赖性</t>
        </is>
      </c>
      <c r="G3373" s="18">
        <f>HYPERLINK("D:\python\英语学习\voices\"&amp;B3373&amp;"_1.mp3","BrE")</f>
        <v/>
      </c>
      <c r="H3373" s="18">
        <f>HYPERLINK("D:\python\英语学习\voices\"&amp;B3373&amp;"_2.mp3","AmE")</f>
        <v/>
      </c>
      <c r="I3373" s="18">
        <f>HYPERLINK("http://dict.youdao.com/w/"&amp;B3373,"有道")</f>
        <v/>
      </c>
    </row>
    <row customHeight="1" ht="29.1" r="3374">
      <c r="B3374" s="1" t="inlineStr">
        <is>
          <t>repudiate</t>
        </is>
      </c>
      <c r="C3374" s="7">
        <f>"vt. 拒绝；否定；批判；与…断绝关系；拒付"</f>
        <v/>
      </c>
      <c r="E3374" s="16" t="inlineStr">
        <is>
          <t>断然，正式</t>
        </is>
      </c>
      <c r="G3374" s="18">
        <f>HYPERLINK("D:\python\英语学习\voices\"&amp;B3374&amp;"_1.mp3","BrE")</f>
        <v/>
      </c>
      <c r="H3374" s="18">
        <f>HYPERLINK("D:\python\英语学习\voices\"&amp;B3374&amp;"_2.mp3","AmE")</f>
        <v/>
      </c>
      <c r="I3374" s="18">
        <f>HYPERLINK("http://dict.youdao.com/w/"&amp;B3374,"有道")</f>
        <v/>
      </c>
    </row>
    <row customHeight="1" ht="28.5" r="3375">
      <c r="B3375" s="1" t="inlineStr">
        <is>
          <t>meadow</t>
        </is>
      </c>
      <c r="C3375" s="7">
        <f>"n. 草地；牧场"&amp;CHAR(10)&amp;"n. (Meadow)人名；(英)梅多"</f>
        <v/>
      </c>
      <c r="G3375" s="18">
        <f>HYPERLINK("D:\python\英语学习\voices\"&amp;B3375&amp;"_1.mp3","BrE")</f>
        <v/>
      </c>
      <c r="H3375" s="18">
        <f>HYPERLINK("D:\python\英语学习\voices\"&amp;B3375&amp;"_2.mp3","AmE")</f>
        <v/>
      </c>
      <c r="I3375" s="18">
        <f>HYPERLINK("http://dict.youdao.com/w/"&amp;B3375,"有道")</f>
        <v/>
      </c>
    </row>
    <row customHeight="1" ht="42.75" r="3376">
      <c r="B3376" s="1" t="inlineStr">
        <is>
          <t>beige</t>
        </is>
      </c>
      <c r="C3376" s="7">
        <f>"n. 薄斜纹呢；米黄色"&amp;CHAR(10)&amp;"adj. 米黄色的；无特色的"&amp;CHAR(10)&amp;"n. (Beige) （美）贝热（人名）"</f>
        <v/>
      </c>
      <c r="G3376" s="18">
        <f>HYPERLINK("D:\python\英语学习\voices\"&amp;B3376&amp;"_1.mp3","BrE")</f>
        <v/>
      </c>
      <c r="H3376" s="18">
        <f>HYPERLINK("D:\python\英语学习\voices\"&amp;B3376&amp;"_2.mp3","AmE")</f>
        <v/>
      </c>
      <c r="I3376" s="18">
        <f>HYPERLINK("http://dict.youdao.com/w/"&amp;B3376,"有道")</f>
        <v/>
      </c>
    </row>
    <row customHeight="1" ht="57" r="3377">
      <c r="A3377" s="1" t="inlineStr">
        <is>
          <t>practice</t>
        </is>
      </c>
      <c r="B3377" s="1" t="inlineStr">
        <is>
          <t>dissemble</t>
        </is>
      </c>
      <c r="C3377" s="7">
        <f>"vt. 掩饰，掩盖；假装"&amp;CHAR(10)&amp;"vi. 隐藏，掩饰（思想、感情等）"</f>
        <v/>
      </c>
      <c r="G3377" s="18">
        <f>HYPERLINK("D:\python\英语学习\voices\"&amp;B3377&amp;"_1.mp3","BrE")</f>
        <v/>
      </c>
      <c r="H3377" s="18">
        <f>HYPERLINK("D:\python\英语学习\voices\"&amp;B3377&amp;"_2.mp3","AmE")</f>
        <v/>
      </c>
      <c r="I3377" s="18">
        <f>HYPERLINK("http://dict.youdao.com/w/"&amp;B3377,"有道")</f>
        <v/>
      </c>
    </row>
    <row r="3378">
      <c r="B3378" s="1" t="inlineStr">
        <is>
          <t>charisma</t>
        </is>
      </c>
      <c r="C3378" s="7">
        <f>"n. 魅力；神授的能力；非凡的领导力"</f>
        <v/>
      </c>
      <c r="G3378" s="18">
        <f>HYPERLINK("D:\python\英语学习\voices\"&amp;B3378&amp;"_1.mp3","BrE")</f>
        <v/>
      </c>
      <c r="H3378" s="18">
        <f>HYPERLINK("D:\python\英语学习\voices\"&amp;B3378&amp;"_2.mp3","AmE")</f>
        <v/>
      </c>
      <c r="I3378" s="18">
        <f>HYPERLINK("http://dict.youdao.com/w/"&amp;B3378,"有道")</f>
        <v/>
      </c>
    </row>
    <row customHeight="1" ht="57" r="3379">
      <c r="B3379" s="1" t="inlineStr">
        <is>
          <t>harrow</t>
        </is>
      </c>
      <c r="C3379" s="7">
        <f>"n. 耙"&amp;CHAR(10)&amp;"vt. 耙地；使苦恼"&amp;CHAR(10)&amp;"vi. 被耙松"&amp;CHAR(10)&amp;"n. (Harrow)人名；(英)哈罗"</f>
        <v/>
      </c>
      <c r="G3379" s="18">
        <f>HYPERLINK("D:\python\英语学习\voices\"&amp;B3379&amp;"_1.mp3","BrE")</f>
        <v/>
      </c>
      <c r="H3379" s="18">
        <f>HYPERLINK("D:\python\英语学习\voices\"&amp;B3379&amp;"_2.mp3","AmE")</f>
        <v/>
      </c>
      <c r="I3379" s="18">
        <f>HYPERLINK("http://dict.youdao.com/w/"&amp;B3379,"有道")</f>
        <v/>
      </c>
    </row>
    <row customHeight="1" ht="42.75" r="3380">
      <c r="B3380" s="1" t="inlineStr">
        <is>
          <t>hackneyed</t>
        </is>
      </c>
      <c r="C3380" s="7">
        <f>"adj. 陈腐的；平庸的"&amp;CHAR(10)&amp;"v. 出租（马匹、马车等）；役使（hackney的过去式）"</f>
        <v/>
      </c>
      <c r="D3380" t="inlineStr">
        <is>
          <t>hackney-出租马车</t>
        </is>
      </c>
      <c r="E3380" s="16" t="inlineStr">
        <is>
          <t>注意拼写，不是able</t>
        </is>
      </c>
      <c r="G3380" s="18">
        <f>HYPERLINK("D:\python\英语学习\voices\"&amp;B3380&amp;"_1.mp3","BrE")</f>
        <v/>
      </c>
      <c r="H3380" s="18">
        <f>HYPERLINK("D:\python\英语学习\voices\"&amp;B3380&amp;"_2.mp3","AmE")</f>
        <v/>
      </c>
      <c r="I3380" s="18">
        <f>HYPERLINK("http://dict.youdao.com/w/"&amp;B3380,"有道")</f>
        <v/>
      </c>
    </row>
    <row customHeight="1" ht="28.5" r="3381">
      <c r="B3381" s="1" t="inlineStr">
        <is>
          <t>virtuous</t>
        </is>
      </c>
      <c r="C3381" s="7">
        <f>"adj. 善良的；有道德的；贞洁的；正直的；有效力的"</f>
        <v/>
      </c>
      <c r="E3381" s="12" t="inlineStr">
        <is>
          <t>virtuous cycle良性循环</t>
        </is>
      </c>
      <c r="G3381" s="18">
        <f>HYPERLINK("D:\python\英语学习\voices\"&amp;B3381&amp;"_1.mp3","BrE")</f>
        <v/>
      </c>
      <c r="H3381" s="18">
        <f>HYPERLINK("D:\python\英语学习\voices\"&amp;B3381&amp;"_2.mp3","AmE")</f>
        <v/>
      </c>
      <c r="I3381" s="18">
        <f>HYPERLINK("http://dict.youdao.com/w/"&amp;B3381,"有道")</f>
        <v/>
      </c>
    </row>
    <row customHeight="1" ht="28.5" r="3382">
      <c r="B3382" s="1" t="inlineStr">
        <is>
          <t>banal</t>
        </is>
      </c>
      <c r="C3382" s="7">
        <f>"adj. 陈腐的；平庸的；老一套的"&amp;CHAR(10)&amp;"n. (Banal)人名；(法、意)巴纳尔"</f>
        <v/>
      </c>
      <c r="G3382" s="18">
        <f>HYPERLINK("D:\python\英语学习\voices\"&amp;B3382&amp;"_1.mp3","BrE")</f>
        <v/>
      </c>
      <c r="H3382" s="18">
        <f>HYPERLINK("D:\python\英语学习\voices\"&amp;B3382&amp;"_2.mp3","AmE")</f>
        <v/>
      </c>
      <c r="I3382" s="18">
        <f>HYPERLINK("http://dict.youdao.com/w/"&amp;B3382,"有道")</f>
        <v/>
      </c>
    </row>
    <row customHeight="1" ht="85.5" r="3383">
      <c r="B3383" s="1" t="inlineStr">
        <is>
          <t>plume</t>
        </is>
      </c>
      <c r="C3383" s="7">
        <f>"n. 羽毛；羽毛装饰物；飘升之物；（尤指污染物）一团物质；地幔柱"&amp;CHAR(10)&amp;"v. 用羽毛装饰；羽毛状展开；（鸟）整理羽毛；（人）搔首弄姿；引以为傲；飘升"&amp;CHAR(10)&amp;"n. (Plume) （美、英、加、法）普卢姆（人名）"</f>
        <v/>
      </c>
      <c r="G3383" s="18">
        <f>HYPERLINK("D:\python\英语学习\voices\"&amp;B3383&amp;"_1.mp3","BrE")</f>
        <v/>
      </c>
      <c r="H3383" s="18">
        <f>HYPERLINK("D:\python\英语学习\voices\"&amp;B3383&amp;"_2.mp3","AmE")</f>
        <v/>
      </c>
      <c r="I3383" s="18">
        <f>HYPERLINK("http://dict.youdao.com/w/"&amp;B3383,"有道")</f>
        <v/>
      </c>
    </row>
    <row r="3384">
      <c r="B3384" s="1" t="inlineStr">
        <is>
          <t>windowsill</t>
        </is>
      </c>
      <c r="C3384" s="7">
        <f>"n. [建] 窗台；[建] 窗沿"</f>
        <v/>
      </c>
      <c r="G3384" s="18">
        <f>HYPERLINK("D:\python\英语学习\voices\"&amp;B3384&amp;"_1.mp3","BrE")</f>
        <v/>
      </c>
      <c r="H3384" s="18">
        <f>HYPERLINK("D:\python\英语学习\voices\"&amp;B3384&amp;"_2.mp3","AmE")</f>
        <v/>
      </c>
      <c r="I3384" s="18">
        <f>HYPERLINK("http://dict.youdao.com/w/"&amp;B3384,"有道")</f>
        <v/>
      </c>
    </row>
    <row r="3385">
      <c r="A3385" t="inlineStr">
        <is>
          <t>practice</t>
        </is>
      </c>
      <c r="B3385" s="1" t="inlineStr">
        <is>
          <t>extol</t>
        </is>
      </c>
      <c r="C3385" s="7">
        <f>"vt. 颂扬；赞美；赞颂"</f>
        <v/>
      </c>
      <c r="G3385" s="18">
        <f>HYPERLINK("D:\python\英语学习\voices\"&amp;B3385&amp;"_1.mp3","BrE")</f>
        <v/>
      </c>
      <c r="H3385" s="18">
        <f>HYPERLINK("D:\python\英语学习\voices\"&amp;B3385&amp;"_2.mp3","AmE")</f>
        <v/>
      </c>
      <c r="I3385" s="18">
        <f>HYPERLINK("http://dict.youdao.com/w/"&amp;B3385,"有道")</f>
        <v/>
      </c>
    </row>
    <row r="3386">
      <c r="B3386" s="1" t="inlineStr">
        <is>
          <t>cultist</t>
        </is>
      </c>
      <c r="C3386" s="7">
        <f>"n. 热衷搞迷信崇拜的人；邪教分子"</f>
        <v/>
      </c>
      <c r="G3386" s="18">
        <f>HYPERLINK("D:\python\英语学习\voices\"&amp;B3386&amp;"_1.mp3","BrE")</f>
        <v/>
      </c>
      <c r="H3386" s="18">
        <f>HYPERLINK("D:\python\英语学习\voices\"&amp;B3386&amp;"_2.mp3","AmE")</f>
        <v/>
      </c>
      <c r="I3386" s="18">
        <f>HYPERLINK("http://dict.youdao.com/w/"&amp;B3386,"有道")</f>
        <v/>
      </c>
    </row>
    <row r="3387">
      <c r="B3387" s="1" t="inlineStr">
        <is>
          <t>synagogue</t>
        </is>
      </c>
      <c r="C3387" s="7">
        <f>"n. 犹太教会堂；犹太人集会"</f>
        <v/>
      </c>
      <c r="G3387" s="18">
        <f>HYPERLINK("D:\python\英语学习\voices\"&amp;B3387&amp;"_1.mp3","BrE")</f>
        <v/>
      </c>
      <c r="H3387" s="18">
        <f>HYPERLINK("D:\python\英语学习\voices\"&amp;B3387&amp;"_2.mp3","AmE")</f>
        <v/>
      </c>
      <c r="I3387" s="18">
        <f>HYPERLINK("http://dict.youdao.com/w/"&amp;B3387,"有道")</f>
        <v/>
      </c>
    </row>
    <row customHeight="1" ht="28.5" r="3388">
      <c r="B3388" s="1" t="inlineStr">
        <is>
          <t>plausible</t>
        </is>
      </c>
      <c r="C3388" s="7">
        <f>"adj. 看似可信的；花言巧语的，巧言令色的；貌似真实的，貌似有理的"</f>
        <v/>
      </c>
      <c r="G3388" s="18">
        <f>HYPERLINK("D:\python\英语学习\voices\"&amp;B3388&amp;"_1.mp3","BrE")</f>
        <v/>
      </c>
      <c r="H3388" s="18">
        <f>HYPERLINK("D:\python\英语学习\voices\"&amp;B3388&amp;"_2.mp3","AmE")</f>
        <v/>
      </c>
      <c r="I3388" s="18">
        <f>HYPERLINK("http://dict.youdao.com/w/"&amp;B3388,"有道")</f>
        <v/>
      </c>
    </row>
    <row r="3389">
      <c r="B3389" s="1" t="inlineStr">
        <is>
          <t>sanctum</t>
        </is>
      </c>
      <c r="C3389" s="7">
        <f>"n. 圣所；密室；私室"</f>
        <v/>
      </c>
      <c r="G3389" s="18">
        <f>HYPERLINK("D:\python\英语学习\voices\"&amp;B3389&amp;"_1.mp3","BrE")</f>
        <v/>
      </c>
      <c r="H3389" s="18">
        <f>HYPERLINK("D:\python\英语学习\voices\"&amp;B3389&amp;"_2.mp3","AmE")</f>
        <v/>
      </c>
      <c r="I3389" s="18">
        <f>HYPERLINK("http://dict.youdao.com/w/"&amp;B3389,"有道")</f>
        <v/>
      </c>
    </row>
    <row r="3390">
      <c r="B3390" s="1" t="inlineStr">
        <is>
          <t>dilated</t>
        </is>
      </c>
      <c r="C3390" s="7">
        <f>"adj. 扩大的；膨胀的；加宽的"</f>
        <v/>
      </c>
      <c r="E3390" t="inlineStr">
        <is>
          <t>扩张</t>
        </is>
      </c>
      <c r="G3390" s="18">
        <f>HYPERLINK("D:\python\英语学习\voices\"&amp;B3390&amp;"_1.mp3","BrE")</f>
        <v/>
      </c>
      <c r="H3390" s="18">
        <f>HYPERLINK("D:\python\英语学习\voices\"&amp;B3390&amp;"_2.mp3","AmE")</f>
        <v/>
      </c>
      <c r="I3390" s="18">
        <f>HYPERLINK("http://dict.youdao.com/w/"&amp;B3390,"有道")</f>
        <v/>
      </c>
    </row>
    <row r="3391">
      <c r="B3391" s="1" t="inlineStr">
        <is>
          <t>accountability</t>
        </is>
      </c>
      <c r="C3391" s="7">
        <f>"n. 有义务；有责任；可说明性"</f>
        <v/>
      </c>
      <c r="G3391" s="18">
        <f>HYPERLINK("D:\python\英语学习\voices\"&amp;B3391&amp;"_1.mp3","BrE")</f>
        <v/>
      </c>
      <c r="H3391" s="18">
        <f>HYPERLINK("D:\python\英语学习\voices\"&amp;B3391&amp;"_2.mp3","AmE")</f>
        <v/>
      </c>
      <c r="I3391" s="18">
        <f>HYPERLINK("http://dict.youdao.com/w/"&amp;B3391,"有道")</f>
        <v/>
      </c>
    </row>
    <row customHeight="1" ht="29.1" r="3392">
      <c r="B3392" s="1" t="inlineStr">
        <is>
          <t>bogus</t>
        </is>
      </c>
      <c r="C3392" s="7">
        <f>"adj. 假的；伪造的"&amp;CHAR(10)&amp;"n. 伪币"</f>
        <v/>
      </c>
      <c r="G3392" s="18">
        <f>HYPERLINK("D:\python\英语学习\voices\"&amp;B3392&amp;"_1.mp3","BrE")</f>
        <v/>
      </c>
      <c r="H3392" s="18">
        <f>HYPERLINK("D:\python\英语学习\voices\"&amp;B3392&amp;"_2.mp3","AmE")</f>
        <v/>
      </c>
      <c r="I3392" s="18">
        <f>HYPERLINK("http://dict.youdao.com/w/"&amp;B3392,"有道")</f>
        <v/>
      </c>
    </row>
    <row customHeight="1" ht="29.1" r="3393">
      <c r="B3393" s="1" t="inlineStr">
        <is>
          <t>faeces</t>
        </is>
      </c>
      <c r="C3393" s="7">
        <f>"n. [生理] 粪便；[生理] 排泄物；糟粕（等于feces）"</f>
        <v/>
      </c>
      <c r="G3393" s="18">
        <f>HYPERLINK("D:\python\英语学习\voices\"&amp;B3393&amp;"_1.mp3","BrE")</f>
        <v/>
      </c>
      <c r="H3393" s="18">
        <f>HYPERLINK("D:\python\英语学习\voices\"&amp;B3393&amp;"_2.mp3","AmE")</f>
        <v/>
      </c>
      <c r="I3393" s="18">
        <f>HYPERLINK("http://dict.youdao.com/w/"&amp;B3393,"有道")</f>
        <v/>
      </c>
    </row>
    <row customHeight="1" ht="29.1" r="3394">
      <c r="B3394" s="1" t="inlineStr">
        <is>
          <t>amber</t>
        </is>
      </c>
      <c r="C3394" s="7">
        <f>"n. 琥珀；琥珀色；黄褐色；黄灯"&amp;CHAR(10)&amp;"adj. 琥珀制的；琥珀色的；黄色的"</f>
        <v/>
      </c>
      <c r="E3394" s="6" t="inlineStr">
        <is>
          <t>注意和ember的区分</t>
        </is>
      </c>
      <c r="G3394" s="18">
        <f>HYPERLINK("D:\python\英语学习\voices\"&amp;B3394&amp;"_1.mp3","BrE")</f>
        <v/>
      </c>
      <c r="H3394" s="18">
        <f>HYPERLINK("D:\python\英语学习\voices\"&amp;B3394&amp;"_2.mp3","AmE")</f>
        <v/>
      </c>
      <c r="I3394" s="18">
        <f>HYPERLINK("http://dict.youdao.com/w/"&amp;B3394,"有道")</f>
        <v/>
      </c>
    </row>
    <row customHeight="1" ht="29.1" r="3395">
      <c r="B3395" s="1" t="inlineStr">
        <is>
          <t>ember</t>
        </is>
      </c>
      <c r="C3395" s="7">
        <f>"n. 灰烬，余烬"&amp;CHAR(10)&amp;"n. (Ember)人名；(德、西、罗、匈)恩贝尔"</f>
        <v/>
      </c>
      <c r="E3395" s="6" t="inlineStr">
        <is>
          <t>注意和amber的区分</t>
        </is>
      </c>
      <c r="G3395" s="18">
        <f>HYPERLINK("D:\python\英语学习\voices\"&amp;B3395&amp;"_1.mp3","BrE")</f>
        <v/>
      </c>
      <c r="H3395" s="18">
        <f>HYPERLINK("D:\python\英语学习\voices\"&amp;B3395&amp;"_2.mp3","AmE")</f>
        <v/>
      </c>
      <c r="I3395" s="18">
        <f>HYPERLINK("http://dict.youdao.com/w/"&amp;B3395,"有道")</f>
        <v/>
      </c>
    </row>
    <row r="3396">
      <c r="B3396" s="1" t="inlineStr">
        <is>
          <t>condone</t>
        </is>
      </c>
      <c r="C3396" s="7">
        <f>"vt. 宽恕；赦免"</f>
        <v/>
      </c>
      <c r="G3396" s="18">
        <f>HYPERLINK("D:\python\英语学习\voices\"&amp;B3396&amp;"_1.mp3","BrE")</f>
        <v/>
      </c>
      <c r="H3396" s="18">
        <f>HYPERLINK("D:\python\英语学习\voices\"&amp;B3396&amp;"_2.mp3","AmE")</f>
        <v/>
      </c>
      <c r="I3396" s="18">
        <f>HYPERLINK("http://dict.youdao.com/w/"&amp;B3396,"有道")</f>
        <v/>
      </c>
    </row>
    <row customHeight="1" ht="28.5" r="3397">
      <c r="B3397" s="1" t="inlineStr">
        <is>
          <t>fridge</t>
        </is>
      </c>
      <c r="C3397" s="7">
        <f>"n. 电冰箱"&amp;CHAR(10)&amp;"n. (Fridge)人名；(英)弗里奇"</f>
        <v/>
      </c>
      <c r="G3397" s="18">
        <f>HYPERLINK("D:\python\英语学习\voices\"&amp;B3397&amp;"_1.mp3","BrE")</f>
        <v/>
      </c>
      <c r="H3397" s="18">
        <f>HYPERLINK("D:\python\英语学习\voices\"&amp;B3397&amp;"_2.mp3","AmE")</f>
        <v/>
      </c>
      <c r="I3397" s="18">
        <f>HYPERLINK("http://dict.youdao.com/w/"&amp;B3397,"有道")</f>
        <v/>
      </c>
    </row>
    <row r="3398">
      <c r="B3398" s="1" t="inlineStr">
        <is>
          <t>obnoxious</t>
        </is>
      </c>
      <c r="C3398" s="7">
        <f>"adj. 讨厌的；可憎的；不愉快的"</f>
        <v/>
      </c>
      <c r="G3398" s="18">
        <f>HYPERLINK("D:\python\英语学习\voices\"&amp;B3398&amp;"_1.mp3","BrE")</f>
        <v/>
      </c>
      <c r="H3398" s="18">
        <f>HYPERLINK("D:\python\英语学习\voices\"&amp;B3398&amp;"_2.mp3","AmE")</f>
        <v/>
      </c>
      <c r="I3398" s="18">
        <f>HYPERLINK("http://dict.youdao.com/w/"&amp;B3398,"有道")</f>
        <v/>
      </c>
    </row>
    <row customHeight="1" ht="28.5" r="3399">
      <c r="B3399" s="1" t="inlineStr">
        <is>
          <t>paraphrase</t>
        </is>
      </c>
      <c r="C3399" s="7">
        <f>"n. 释义；解释；意译"&amp;CHAR(10)&amp;"vt. 释义"</f>
        <v/>
      </c>
      <c r="G3399" s="18">
        <f>HYPERLINK("D:\python\英语学习\voices\"&amp;B3399&amp;"_1.mp3","BrE")</f>
        <v/>
      </c>
      <c r="H3399" s="18">
        <f>HYPERLINK("D:\python\英语学习\voices\"&amp;B3399&amp;"_2.mp3","AmE")</f>
        <v/>
      </c>
      <c r="I3399" s="18">
        <f>HYPERLINK("http://dict.youdao.com/w/"&amp;B3399,"有道")</f>
        <v/>
      </c>
    </row>
    <row customHeight="1" ht="28.5" r="3400">
      <c r="B3400" s="1" t="inlineStr">
        <is>
          <t>glitter</t>
        </is>
      </c>
      <c r="C3400" s="7">
        <f>"v. 闪光；闪烁"&amp;CHAR(10)&amp;"n. 闪光；灿烂；华而不实；（眼中的）光亮"</f>
        <v/>
      </c>
      <c r="G3400" s="18">
        <f>HYPERLINK("D:\python\英语学习\voices\"&amp;B3400&amp;"_1.mp3","BrE")</f>
        <v/>
      </c>
      <c r="H3400" s="18">
        <f>HYPERLINK("D:\python\英语学习\voices\"&amp;B3400&amp;"_2.mp3","AmE")</f>
        <v/>
      </c>
      <c r="I3400" s="18">
        <f>HYPERLINK("http://dict.youdao.com/w/"&amp;B3400,"有道")</f>
        <v/>
      </c>
    </row>
    <row customHeight="1" ht="71.25" r="3401">
      <c r="B3401" s="1" t="inlineStr">
        <is>
          <t>gutter</t>
        </is>
      </c>
      <c r="C3401" s="7">
        <f>"n. 排水沟；槽；贫民区"&amp;CHAR(10)&amp;"vi. 流；形成沟"&amp;CHAR(10)&amp;"vt. 开沟于…；弄熄"&amp;CHAR(10)&amp;"adj. 贫贱的；粗俗的；耸人听闻的"&amp;CHAR(10)&amp;"n. (Gutter)人名；(罗)古特尔；(英)格特"</f>
        <v/>
      </c>
      <c r="G3401" s="18">
        <f>HYPERLINK("D:\python\英语学习\voices\"&amp;B3401&amp;"_1.mp3","BrE")</f>
        <v/>
      </c>
      <c r="H3401" s="18">
        <f>HYPERLINK("D:\python\英语学习\voices\"&amp;B3401&amp;"_2.mp3","AmE")</f>
        <v/>
      </c>
      <c r="I3401" s="18">
        <f>HYPERLINK("http://dict.youdao.com/w/"&amp;B3401,"有道")</f>
        <v/>
      </c>
    </row>
    <row r="3402">
      <c r="B3402" s="1" t="inlineStr">
        <is>
          <t>proust</t>
        </is>
      </c>
      <c r="C3402" s="7">
        <f>"n. 蒲鲁斯特（法国化学家，姓氏）"</f>
        <v/>
      </c>
      <c r="G3402" s="18">
        <f>HYPERLINK("D:\python\英语学习\voices\"&amp;B3402&amp;"_1.mp3","BrE")</f>
        <v/>
      </c>
      <c r="H3402" s="18">
        <f>HYPERLINK("D:\python\英语学习\voices\"&amp;B3402&amp;"_2.mp3","AmE")</f>
        <v/>
      </c>
      <c r="I3402" s="18">
        <f>HYPERLINK("http://dict.youdao.com/w/"&amp;B3402,"有道")</f>
        <v/>
      </c>
    </row>
    <row r="3403">
      <c r="B3403" s="1" t="inlineStr">
        <is>
          <t>jubilant</t>
        </is>
      </c>
      <c r="C3403" s="7">
        <f>"adj. 欢呼的；喜洋洋的"</f>
        <v/>
      </c>
      <c r="G3403" s="18">
        <f>HYPERLINK("D:\python\英语学习\voices\"&amp;B3403&amp;"_1.mp3","BrE")</f>
        <v/>
      </c>
      <c r="H3403" s="18">
        <f>HYPERLINK("D:\python\英语学习\voices\"&amp;B3403&amp;"_2.mp3","AmE")</f>
        <v/>
      </c>
      <c r="I3403" s="18">
        <f>HYPERLINK("http://dict.youdao.com/w/"&amp;B3403,"有道")</f>
        <v/>
      </c>
    </row>
    <row customHeight="1" ht="28.5" r="3404">
      <c r="B3404" s="1" t="inlineStr">
        <is>
          <t>ecstatic</t>
        </is>
      </c>
      <c r="C3404" s="7">
        <f>"adj. 狂喜的；入迷的"&amp;CHAR(10)&amp;"n. 狂喜的人"</f>
        <v/>
      </c>
      <c r="D3404" s="6" t="inlineStr">
        <is>
          <t>ecstasy狂喜、(大写)摇头丸</t>
        </is>
      </c>
      <c r="E3404" s="6" t="inlineStr">
        <is>
          <t>ecstatic,blissful,euphoric,elated,overjoyed</t>
        </is>
      </c>
      <c r="G3404" s="18">
        <f>HYPERLINK("D:\python\英语学习\voices\"&amp;B3404&amp;"_1.mp3","BrE")</f>
        <v/>
      </c>
      <c r="H3404" s="18">
        <f>HYPERLINK("D:\python\英语学习\voices\"&amp;B3404&amp;"_2.mp3","AmE")</f>
        <v/>
      </c>
      <c r="I3404" s="18">
        <f>HYPERLINK("http://dict.youdao.com/w/"&amp;B3404,"有道")</f>
        <v/>
      </c>
    </row>
    <row customHeight="1" ht="28.5" r="3405">
      <c r="B3405" s="1" t="inlineStr">
        <is>
          <t>overjoyed</t>
        </is>
      </c>
      <c r="C3405" s="7">
        <f>"v. （使）狂喜（overjoy 的过去式及过去分词）"&amp;CHAR(10)&amp;"adj. 狂喜的"</f>
        <v/>
      </c>
      <c r="E3405" s="6" t="inlineStr">
        <is>
          <t>ecstatic,blissful,euphoric,elated,overjoyed</t>
        </is>
      </c>
      <c r="G3405" s="18">
        <f>HYPERLINK("D:\python\英语学习\voices\"&amp;B3405&amp;"_1.mp3","BrE")</f>
        <v/>
      </c>
      <c r="H3405" s="18">
        <f>HYPERLINK("D:\python\英语学习\voices\"&amp;B3405&amp;"_2.mp3","AmE")</f>
        <v/>
      </c>
      <c r="I3405" s="18">
        <f>HYPERLINK("http://dict.youdao.com/w/"&amp;B3405,"有道")</f>
        <v/>
      </c>
    </row>
    <row customHeight="1" ht="28.5" r="3406">
      <c r="B3406" s="1" t="inlineStr">
        <is>
          <t>elated</t>
        </is>
      </c>
      <c r="C3406" s="7">
        <f>"adj. 兴高采烈的；得意洋洋的"&amp;CHAR(10)&amp;"v. 使兴奋（elate的过去式和过去分词）"</f>
        <v/>
      </c>
      <c r="E3406" s="6" t="inlineStr">
        <is>
          <t>ecstatic,blissful,euphoric,elated,overjoyed</t>
        </is>
      </c>
      <c r="G3406" s="18">
        <f>HYPERLINK("D:\python\英语学习\voices\"&amp;B3406&amp;"_1.mp3","BrE")</f>
        <v/>
      </c>
      <c r="H3406" s="18">
        <f>HYPERLINK("D:\python\英语学习\voices\"&amp;B3406&amp;"_2.mp3","AmE")</f>
        <v/>
      </c>
      <c r="I3406" s="18">
        <f>HYPERLINK("http://dict.youdao.com/w/"&amp;B3406,"有道")</f>
        <v/>
      </c>
    </row>
    <row customHeight="1" ht="28.5" r="3407">
      <c r="B3407" s="1" t="inlineStr">
        <is>
          <t>blissful</t>
        </is>
      </c>
      <c r="C3407" s="7">
        <f>"adj. 极乐的；使人幸福的；无忧无虑的；充满喜悦的"</f>
        <v/>
      </c>
      <c r="E3407" s="6" t="inlineStr">
        <is>
          <t>ecstatic,blissful,euphoric,elated,overjoyed</t>
        </is>
      </c>
      <c r="G3407" s="18">
        <f>HYPERLINK("D:\python\英语学习\voices\"&amp;B3407&amp;"_1.mp3","BrE")</f>
        <v/>
      </c>
      <c r="H3407" s="18">
        <f>HYPERLINK("D:\python\英语学习\voices\"&amp;B3407&amp;"_2.mp3","AmE")</f>
        <v/>
      </c>
      <c r="I3407" s="18">
        <f>HYPERLINK("http://dict.youdao.com/w/"&amp;B3407,"有道")</f>
        <v/>
      </c>
    </row>
    <row r="3408">
      <c r="B3408" s="1" t="inlineStr">
        <is>
          <t>euphoric</t>
        </is>
      </c>
      <c r="C3408" s="7">
        <f>"adj. 欣快的；极度兴奋的，情绪高涨的"</f>
        <v/>
      </c>
      <c r="E3408" s="6" t="inlineStr">
        <is>
          <t>ecstatic,blissful,euphoric,elated,overjoyed</t>
        </is>
      </c>
      <c r="G3408" s="18">
        <f>HYPERLINK("D:\python\英语学习\voices\"&amp;B3408&amp;"_1.mp3","BrE")</f>
        <v/>
      </c>
      <c r="H3408" s="18">
        <f>HYPERLINK("D:\python\英语学习\voices\"&amp;B3408&amp;"_2.mp3","AmE")</f>
        <v/>
      </c>
      <c r="I3408" s="18">
        <f>HYPERLINK("http://dict.youdao.com/w/"&amp;B3408,"有道")</f>
        <v/>
      </c>
    </row>
    <row r="3409">
      <c r="B3409" s="1" t="inlineStr">
        <is>
          <t>phantasm</t>
        </is>
      </c>
      <c r="C3409" s="7">
        <f>"n. 幻想，幽灵；错觉；空想"</f>
        <v/>
      </c>
      <c r="G3409" s="18">
        <f>HYPERLINK("D:\python\英语学习\voices\"&amp;B3409&amp;"_1.mp3","BrE")</f>
        <v/>
      </c>
      <c r="H3409" s="18">
        <f>HYPERLINK("D:\python\英语学习\voices\"&amp;B3409&amp;"_2.mp3","AmE")</f>
        <v/>
      </c>
      <c r="I3409" s="18">
        <f>HYPERLINK("http://dict.youdao.com/w/"&amp;B3409,"有道")</f>
        <v/>
      </c>
    </row>
    <row r="3410">
      <c r="B3410" s="1" t="inlineStr">
        <is>
          <t>apparition</t>
        </is>
      </c>
      <c r="C3410" s="7">
        <f>"n. 幽灵；幻影；鬼怪；离奇出现的东西"</f>
        <v/>
      </c>
      <c r="G3410" s="18">
        <f>HYPERLINK("D:\python\英语学习\voices\"&amp;B3410&amp;"_1.mp3","BrE")</f>
        <v/>
      </c>
      <c r="H3410" s="18">
        <f>HYPERLINK("D:\python\英语学习\voices\"&amp;B3410&amp;"_2.mp3","AmE")</f>
        <v/>
      </c>
      <c r="I3410" s="18">
        <f>HYPERLINK("http://dict.youdao.com/w/"&amp;B3410,"有道")</f>
        <v/>
      </c>
    </row>
    <row r="3411">
      <c r="B3411" s="1" t="inlineStr">
        <is>
          <t>misperceive</t>
        </is>
      </c>
      <c r="C3411" s="7">
        <f>"vt. 误解；看错"</f>
        <v/>
      </c>
      <c r="G3411" s="18">
        <f>HYPERLINK("D:\python\英语学习\voices\"&amp;B3411&amp;"_1.mp3","BrE")</f>
        <v/>
      </c>
      <c r="H3411" s="18">
        <f>HYPERLINK("D:\python\英语学习\voices\"&amp;B3411&amp;"_2.mp3","AmE")</f>
        <v/>
      </c>
      <c r="I3411" s="18">
        <f>HYPERLINK("http://dict.youdao.com/w/"&amp;B3411,"有道")</f>
        <v/>
      </c>
    </row>
    <row customHeight="1" ht="57" r="3412">
      <c r="B3412" s="1" t="inlineStr">
        <is>
          <t>muddle</t>
        </is>
      </c>
      <c r="C3412" s="7">
        <f>"v. 弄乱；（使）糊涂；混淆；瞎忙；调制（饮料）"&amp;CHAR(10)&amp;"n. 糊涂；混乱，一团糟；混乱状态；混乱导致的错误"</f>
        <v/>
      </c>
      <c r="G3412" s="18">
        <f>HYPERLINK("D:\python\英语学习\voices\"&amp;B3412&amp;"_1.mp3","BrE")</f>
        <v/>
      </c>
      <c r="H3412" s="18">
        <f>HYPERLINK("D:\python\英语学习\voices\"&amp;B3412&amp;"_2.mp3","AmE")</f>
        <v/>
      </c>
      <c r="I3412" s="18">
        <f>HYPERLINK("http://dict.youdao.com/w/"&amp;B3412,"有道")</f>
        <v/>
      </c>
    </row>
    <row r="3413">
      <c r="B3413" s="1" t="inlineStr">
        <is>
          <t>chauvinism</t>
        </is>
      </c>
      <c r="C3413" s="7">
        <f>"n. 沙文主义；盲目的爱国心"</f>
        <v/>
      </c>
      <c r="G3413" s="18">
        <f>HYPERLINK("D:\python\英语学习\voices\"&amp;B3413&amp;"_1.mp3","BrE")</f>
        <v/>
      </c>
      <c r="H3413" s="18">
        <f>HYPERLINK("D:\python\英语学习\voices\"&amp;B3413&amp;"_2.mp3","AmE")</f>
        <v/>
      </c>
      <c r="I3413" s="18">
        <f>HYPERLINK("http://dict.youdao.com/w/"&amp;B3413,"有道")</f>
        <v/>
      </c>
    </row>
    <row r="3414">
      <c r="B3414" s="1" t="inlineStr">
        <is>
          <t>typify</t>
        </is>
      </c>
      <c r="C3414" s="17">
        <f>"vt. 代表；作为…的典型；具有…的特点"</f>
        <v/>
      </c>
      <c r="G3414" s="18">
        <f>HYPERLINK("D:\python\英语学习\voices\"&amp;B3414&amp;"_1.mp3","BrE")</f>
        <v/>
      </c>
      <c r="H3414" s="18">
        <f>HYPERLINK("D:\python\英语学习\voices\"&amp;B3414&amp;"_2.mp3","AmE")</f>
        <v/>
      </c>
      <c r="I3414" s="18">
        <f>HYPERLINK("http://dict.youdao.com/w/"&amp;B3414,"有道")</f>
        <v/>
      </c>
    </row>
    <row customHeight="1" ht="28.5" r="3415">
      <c r="B3415" s="1" t="inlineStr">
        <is>
          <t>aloof</t>
        </is>
      </c>
      <c r="C3415" s="17">
        <f>"adj. 冷淡的；远离的；冷漠的"&amp;CHAR(10)&amp;"adv. 远离；避开地"</f>
        <v/>
      </c>
      <c r="G3415" s="18">
        <f>HYPERLINK("D:\python\英语学习\voices\"&amp;B3415&amp;"_1.mp3","BrE")</f>
        <v/>
      </c>
      <c r="H3415" s="18">
        <f>HYPERLINK("D:\python\英语学习\voices\"&amp;B3415&amp;"_2.mp3","AmE")</f>
        <v/>
      </c>
      <c r="I3415" s="18">
        <f>HYPERLINK("http://dict.youdao.com/w/"&amp;B3415,"有道")</f>
        <v/>
      </c>
    </row>
    <row customHeight="1" ht="28.5" r="3416">
      <c r="B3416" s="1" t="inlineStr">
        <is>
          <t>condescending</t>
        </is>
      </c>
      <c r="C3416" s="17">
        <f>"adj. 表现出优越感的；居高临下的"&amp;CHAR(10)&amp;"v. 屈尊（condescend的ing形式）"</f>
        <v/>
      </c>
      <c r="G3416" s="18">
        <f>HYPERLINK("D:\python\英语学习\voices\"&amp;B3416&amp;"_1.mp3","BrE")</f>
        <v/>
      </c>
      <c r="H3416" s="18">
        <f>HYPERLINK("D:\python\英语学习\voices\"&amp;B3416&amp;"_2.mp3","AmE")</f>
        <v/>
      </c>
      <c r="I3416" s="18">
        <f>HYPERLINK("http://dict.youdao.com/w/"&amp;B3416,"有道")</f>
        <v/>
      </c>
    </row>
    <row r="3417">
      <c r="B3417" s="1" t="inlineStr">
        <is>
          <t>derisive</t>
        </is>
      </c>
      <c r="C3417" s="17">
        <f>"adj. 嘲笑的，嘲弄的；可付之一笑的"</f>
        <v/>
      </c>
      <c r="G3417" s="18">
        <f>HYPERLINK("D:\python\英语学习\voices\"&amp;B3417&amp;"_1.mp3","BrE")</f>
        <v/>
      </c>
      <c r="H3417" s="18">
        <f>HYPERLINK("D:\python\英语学习\voices\"&amp;B3417&amp;"_2.mp3","AmE")</f>
        <v/>
      </c>
      <c r="I3417" s="18">
        <f>HYPERLINK("http://dict.youdao.com/w/"&amp;B3417,"有道")</f>
        <v/>
      </c>
    </row>
    <row r="3418">
      <c r="B3418" s="1" t="inlineStr">
        <is>
          <t>scornful</t>
        </is>
      </c>
      <c r="C3418" s="17">
        <f>"adj. 轻蔑的"</f>
        <v/>
      </c>
      <c r="G3418" s="18">
        <f>HYPERLINK("D:\python\英语学习\voices\"&amp;B3418&amp;"_1.mp3","BrE")</f>
        <v/>
      </c>
      <c r="H3418" s="18">
        <f>HYPERLINK("D:\python\英语学习\voices\"&amp;B3418&amp;"_2.mp3","AmE")</f>
        <v/>
      </c>
      <c r="I3418" s="18">
        <f>HYPERLINK("http://dict.youdao.com/w/"&amp;B3418,"有道")</f>
        <v/>
      </c>
    </row>
    <row customHeight="1" ht="28.5" r="3419">
      <c r="B3419" s="1" t="inlineStr">
        <is>
          <t>sneering</t>
        </is>
      </c>
      <c r="C3419" s="17">
        <f>"adj. 嘲笑的；轻蔑的"&amp;CHAR(10)&amp;"v. 嘲笑（sneer的ing形式）"</f>
        <v/>
      </c>
      <c r="G3419" s="18">
        <f>HYPERLINK("D:\python\英语学习\voices\"&amp;B3419&amp;"_1.mp3","BrE")</f>
        <v/>
      </c>
      <c r="H3419" s="18">
        <f>HYPERLINK("D:\python\英语学习\voices\"&amp;B3419&amp;"_2.mp3","AmE")</f>
        <v/>
      </c>
      <c r="I3419" s="18">
        <f>HYPERLINK("http://dict.youdao.com/w/"&amp;B3419,"有道")</f>
        <v/>
      </c>
    </row>
    <row customHeight="1" ht="28.5" r="3420">
      <c r="B3420" s="1" t="inlineStr">
        <is>
          <t>discretion</t>
        </is>
      </c>
      <c r="C3420" s="17">
        <f>"n. 自由裁量权；谨慎；判断力；判定；考虑周到"</f>
        <v/>
      </c>
      <c r="G3420" s="18">
        <f>HYPERLINK("D:\python\英语学习\voices\"&amp;B3420&amp;"_1.mp3","BrE")</f>
        <v/>
      </c>
      <c r="H3420" s="18">
        <f>HYPERLINK("D:\python\英语学习\voices\"&amp;B3420&amp;"_2.mp3","AmE")</f>
        <v/>
      </c>
      <c r="I3420" s="18">
        <f>HYPERLINK("http://dict.youdao.com/w/"&amp;B3420,"有道")</f>
        <v/>
      </c>
    </row>
    <row customHeight="1" ht="28.5" r="3421">
      <c r="B3421" s="1" t="inlineStr">
        <is>
          <t>perspire</t>
        </is>
      </c>
      <c r="C3421" s="17">
        <f>"vi. 流汗；分泌；渗出"&amp;CHAR(10)&amp;"vt. 使流汗；分泌出"</f>
        <v/>
      </c>
      <c r="G3421" s="18">
        <f>HYPERLINK("D:\python\英语学习\voices\"&amp;B3421&amp;"_1.mp3","BrE")</f>
        <v/>
      </c>
      <c r="H3421" s="18">
        <f>HYPERLINK("D:\python\英语学习\voices\"&amp;B3421&amp;"_2.mp3","AmE")</f>
        <v/>
      </c>
      <c r="I3421" s="18">
        <f>HYPERLINK("http://dict.youdao.com/w/"&amp;B3421,"有道")</f>
        <v/>
      </c>
    </row>
    <row customHeight="1" ht="28.5" r="3422">
      <c r="B3422" s="1" t="inlineStr">
        <is>
          <t>adept</t>
        </is>
      </c>
      <c r="C3422" s="17">
        <f>"adj. 熟练的；擅长……的"&amp;CHAR(10)&amp;"n. 内行；能手"</f>
        <v/>
      </c>
      <c r="G3422" s="18">
        <f>HYPERLINK("D:\python\英语学习\voices\"&amp;B3422&amp;"_1.mp3","BrE")</f>
        <v/>
      </c>
      <c r="H3422" s="18">
        <f>HYPERLINK("D:\python\英语学习\voices\"&amp;B3422&amp;"_2.mp3","AmE")</f>
        <v/>
      </c>
      <c r="I3422" s="18">
        <f>HYPERLINK("http://dict.youdao.com/w/"&amp;B3422,"有道")</f>
        <v/>
      </c>
    </row>
    <row r="3423">
      <c r="B3423" s="1" t="inlineStr">
        <is>
          <t>implicit</t>
        </is>
      </c>
      <c r="C3423" s="17">
        <f>"adj. 含蓄的；暗示的；盲从的"</f>
        <v/>
      </c>
      <c r="D3423" s="10" t="inlineStr">
        <is>
          <t>-plict说</t>
        </is>
      </c>
      <c r="G3423" s="18">
        <f>HYPERLINK("D:\python\英语学习\voices\"&amp;B3423&amp;"_1.mp3","BrE")</f>
        <v/>
      </c>
      <c r="H3423" s="18">
        <f>HYPERLINK("D:\python\英语学习\voices\"&amp;B3423&amp;"_2.mp3","AmE")</f>
        <v/>
      </c>
      <c r="I3423" s="18">
        <f>HYPERLINK("http://dict.youdao.com/w/"&amp;B3423,"有道")</f>
        <v/>
      </c>
    </row>
    <row customHeight="1" ht="42.75" r="3424">
      <c r="B3424" s="1" t="inlineStr">
        <is>
          <t>anticipate</t>
        </is>
      </c>
      <c r="C3424" s="17">
        <f>"v. 预料，预期；预见，预计（并做准备）； 期盼，期望； 先于……做，早于……行动；在期限内履行（义务），偿还（债务）；提前使用"</f>
        <v/>
      </c>
      <c r="E3424" s="6" t="inlineStr">
        <is>
          <t>无脑替换expect</t>
        </is>
      </c>
      <c r="G3424" s="18">
        <f>HYPERLINK("D:\python\英语学习\voices\"&amp;B3424&amp;"_1.mp3","BrE")</f>
        <v/>
      </c>
      <c r="H3424" s="18">
        <f>HYPERLINK("D:\python\英语学习\voices\"&amp;B3424&amp;"_2.mp3","AmE")</f>
        <v/>
      </c>
      <c r="I3424" s="18">
        <f>HYPERLINK("http://dict.youdao.com/w/"&amp;B3424,"有道")</f>
        <v/>
      </c>
    </row>
    <row r="3425">
      <c r="B3425" s="1" t="inlineStr">
        <is>
          <t>promoter</t>
        </is>
      </c>
      <c r="C3425" s="17">
        <f>"n. 促进者；发起人；催化剂；促进剂；启动子"</f>
        <v/>
      </c>
      <c r="G3425" s="18">
        <f>HYPERLINK("D:\python\英语学习\voices\"&amp;B3425&amp;"_1.mp3","BrE")</f>
        <v/>
      </c>
      <c r="H3425" s="18">
        <f>HYPERLINK("D:\python\英语学习\voices\"&amp;B3425&amp;"_2.mp3","AmE")</f>
        <v/>
      </c>
      <c r="I3425" s="18">
        <f>HYPERLINK("http://dict.youdao.com/w/"&amp;B3425,"有道")</f>
        <v/>
      </c>
    </row>
    <row customHeight="1" ht="57" r="3426">
      <c r="A3426" s="1" t="inlineStr">
        <is>
          <t>practice</t>
        </is>
      </c>
      <c r="B3426" s="1" t="inlineStr">
        <is>
          <t>tout</t>
        </is>
      </c>
      <c r="C3426" s="7">
        <f>"vt. 兜售；招徕；刺探赛马情报"&amp;CHAR(10)&amp;"vi. 兜售；招徕顾客；拉选票"&amp;CHAR(10)&amp;"n. 侦查者；兜售者"&amp;CHAR(10)&amp;"n. (Tout)人名；(英)陶特"</f>
        <v/>
      </c>
      <c r="G3426" s="18">
        <f>HYPERLINK("D:\python\英语学习\voices\"&amp;B3426&amp;"_1.mp3","BrE")</f>
        <v/>
      </c>
      <c r="H3426" s="18">
        <f>HYPERLINK("D:\python\英语学习\voices\"&amp;B3426&amp;"_2.mp3","AmE")</f>
        <v/>
      </c>
      <c r="I3426" s="18">
        <f>HYPERLINK("http://dict.youdao.com/w/"&amp;B3426,"有道")</f>
        <v/>
      </c>
    </row>
    <row r="3427">
      <c r="A3427" s="1" t="inlineStr">
        <is>
          <t>practice</t>
        </is>
      </c>
      <c r="B3427" s="1" t="inlineStr">
        <is>
          <t>altruism</t>
        </is>
      </c>
      <c r="C3427" s="7">
        <f>"n. 利他；利他主义"</f>
        <v/>
      </c>
      <c r="G3427" s="18">
        <f>HYPERLINK("D:\python\英语学习\voices\"&amp;B3427&amp;"_1.mp3","BrE")</f>
        <v/>
      </c>
      <c r="H3427" s="18">
        <f>HYPERLINK("D:\python\英语学习\voices\"&amp;B3427&amp;"_2.mp3","AmE")</f>
        <v/>
      </c>
      <c r="I3427" s="18">
        <f>HYPERLINK("http://dict.youdao.com/w/"&amp;B3427,"有道")</f>
        <v/>
      </c>
    </row>
    <row customHeight="1" ht="28.5" r="3428">
      <c r="B3428" s="1" t="inlineStr">
        <is>
          <t>affirm</t>
        </is>
      </c>
      <c r="C3428" s="17">
        <f>"vt. 肯定；断言"&amp;CHAR(10)&amp;"vi. 确认；断言"</f>
        <v/>
      </c>
      <c r="G3428" s="18">
        <f>HYPERLINK("D:\python\英语学习\voices\"&amp;B3428&amp;"_1.mp3","BrE")</f>
        <v/>
      </c>
      <c r="H3428" s="18">
        <f>HYPERLINK("D:\python\英语学习\voices\"&amp;B3428&amp;"_2.mp3","AmE")</f>
        <v/>
      </c>
      <c r="I3428" s="18">
        <f>HYPERLINK("http://dict.youdao.com/w/"&amp;B3428,"有道")</f>
        <v/>
      </c>
    </row>
    <row customHeight="1" ht="85.5" r="3429">
      <c r="B3429" s="1" t="inlineStr">
        <is>
          <t>bias</t>
        </is>
      </c>
      <c r="C3429" s="17">
        <f>"n. 偏见；偏爱；斜纹；乖离率"&amp;CHAR(10)&amp;"vt. 使存偏见"&amp;CHAR(10)&amp;"adj. 偏斜的"&amp;CHAR(10)&amp;"adv. 偏斜地"&amp;CHAR(10)&amp;"n. (Bias)人名；(法、德、葡、喀)比亚斯；(英)拜厄斯"</f>
        <v/>
      </c>
      <c r="G3429" s="18">
        <f>HYPERLINK("D:\python\英语学习\voices\"&amp;B3429&amp;"_1.mp3","BrE")</f>
        <v/>
      </c>
      <c r="H3429" s="18">
        <f>HYPERLINK("D:\python\英语学习\voices\"&amp;B3429&amp;"_2.mp3","AmE")</f>
        <v/>
      </c>
      <c r="I3429" s="18">
        <f>HYPERLINK("http://dict.youdao.com/w/"&amp;B3429,"有道")</f>
        <v/>
      </c>
    </row>
    <row r="3430">
      <c r="B3430" s="1" t="inlineStr">
        <is>
          <t>disclosure</t>
        </is>
      </c>
      <c r="C3430" s="17">
        <f>"n. [审计] 披露；揭发；被揭发出来的事情"</f>
        <v/>
      </c>
      <c r="G3430" s="18">
        <f>HYPERLINK("D:\python\英语学习\voices\"&amp;B3430&amp;"_1.mp3","BrE")</f>
        <v/>
      </c>
      <c r="H3430" s="18">
        <f>HYPERLINK("D:\python\英语学习\voices\"&amp;B3430&amp;"_2.mp3","AmE")</f>
        <v/>
      </c>
      <c r="I3430" s="18">
        <f>HYPERLINK("http://dict.youdao.com/w/"&amp;B3430,"有道")</f>
        <v/>
      </c>
    </row>
    <row r="3431">
      <c r="B3431" s="1" t="inlineStr">
        <is>
          <t>deliberation</t>
        </is>
      </c>
      <c r="C3431" s="17">
        <f>"n. 审议；考虑；从容；熟思"</f>
        <v/>
      </c>
      <c r="G3431" s="18">
        <f>HYPERLINK("D:\python\英语学习\voices\"&amp;B3431&amp;"_1.mp3","BrE")</f>
        <v/>
      </c>
      <c r="H3431" s="18">
        <f>HYPERLINK("D:\python\英语学习\voices\"&amp;B3431&amp;"_2.mp3","AmE")</f>
        <v/>
      </c>
      <c r="I3431" s="18">
        <f>HYPERLINK("http://dict.youdao.com/w/"&amp;B3431,"有道")</f>
        <v/>
      </c>
    </row>
    <row r="3432">
      <c r="B3432" s="1" t="inlineStr">
        <is>
          <t>discernment</t>
        </is>
      </c>
      <c r="C3432" s="17">
        <f>"n. 识别；洞察力；敏锐；眼力"</f>
        <v/>
      </c>
      <c r="G3432" s="18">
        <f>HYPERLINK("D:\python\英语学习\voices\"&amp;B3432&amp;"_1.mp3","BrE")</f>
        <v/>
      </c>
      <c r="H3432" s="18">
        <f>HYPERLINK("D:\python\英语学习\voices\"&amp;B3432&amp;"_2.mp3","AmE")</f>
        <v/>
      </c>
      <c r="I3432" s="18">
        <f>HYPERLINK("http://dict.youdao.com/w/"&amp;B3432,"有道")</f>
        <v/>
      </c>
    </row>
    <row r="3433">
      <c r="B3433" s="1" t="inlineStr">
        <is>
          <t>proclaim</t>
        </is>
      </c>
      <c r="C3433" s="17">
        <f>"vt. 宣告，公布；声明；表明；赞扬"</f>
        <v/>
      </c>
      <c r="G3433" s="18">
        <f>HYPERLINK("D:\python\英语学习\voices\"&amp;B3433&amp;"_1.mp3","BrE")</f>
        <v/>
      </c>
      <c r="H3433" s="18">
        <f>HYPERLINK("D:\python\英语学习\voices\"&amp;B3433&amp;"_2.mp3","AmE")</f>
        <v/>
      </c>
      <c r="I3433" s="18">
        <f>HYPERLINK("http://dict.youdao.com/w/"&amp;B3433,"有道")</f>
        <v/>
      </c>
    </row>
    <row customHeight="1" ht="28.5" r="3434">
      <c r="B3434" s="1" t="inlineStr">
        <is>
          <t>irritate</t>
        </is>
      </c>
      <c r="C3434" s="17">
        <f>"vt. 刺激，使兴奋；激怒"&amp;CHAR(10)&amp;"vi. 引起恼怒，引起不愉快"</f>
        <v/>
      </c>
      <c r="E3434" t="inlineStr">
        <is>
          <t>后面跟人</t>
        </is>
      </c>
      <c r="G3434" s="18">
        <f>HYPERLINK("D:\python\英语学习\voices\"&amp;B3434&amp;"_1.mp3","BrE")</f>
        <v/>
      </c>
      <c r="H3434" s="18">
        <f>HYPERLINK("D:\python\英语学习\voices\"&amp;B3434&amp;"_2.mp3","AmE")</f>
        <v/>
      </c>
      <c r="I3434" s="18">
        <f>HYPERLINK("http://dict.youdao.com/w/"&amp;B3434,"有道")</f>
        <v/>
      </c>
    </row>
    <row customHeight="1" ht="28.5" r="3435">
      <c r="B3435" s="1" t="inlineStr">
        <is>
          <t>accession</t>
        </is>
      </c>
      <c r="C3435" s="17">
        <f>"n. 增加；就职；到达"&amp;CHAR(10)&amp;"vt. 登记入册"</f>
        <v/>
      </c>
      <c r="E3435" s="16" t="inlineStr">
        <is>
          <t>很正式</t>
        </is>
      </c>
      <c r="G3435" s="18">
        <f>HYPERLINK("D:\python\英语学习\voices\"&amp;B3435&amp;"_1.mp3","BrE")</f>
        <v/>
      </c>
      <c r="H3435" s="18">
        <f>HYPERLINK("D:\python\英语学习\voices\"&amp;B3435&amp;"_2.mp3","AmE")</f>
        <v/>
      </c>
      <c r="I3435" s="18">
        <f>HYPERLINK("http://dict.youdao.com/w/"&amp;B3435,"有道")</f>
        <v/>
      </c>
    </row>
    <row r="3436">
      <c r="B3436" s="1" t="inlineStr">
        <is>
          <t>impudent</t>
        </is>
      </c>
      <c r="C3436" s="17">
        <f>"adj. 无耻的；鲁莽的；放肆无礼的"</f>
        <v/>
      </c>
      <c r="G3436" s="18">
        <f>HYPERLINK("D:\python\英语学习\voices\"&amp;B3436&amp;"_1.mp3","BrE")</f>
        <v/>
      </c>
      <c r="H3436" s="18">
        <f>HYPERLINK("D:\python\英语学习\voices\"&amp;B3436&amp;"_2.mp3","AmE")</f>
        <v/>
      </c>
      <c r="I3436" s="18">
        <f>HYPERLINK("http://dict.youdao.com/w/"&amp;B3436,"有道")</f>
        <v/>
      </c>
    </row>
    <row r="3437">
      <c r="B3437" s="1" t="inlineStr">
        <is>
          <t>impudence</t>
        </is>
      </c>
      <c r="C3437" s="17">
        <f>"n. 厚颜无耻；冒失"</f>
        <v/>
      </c>
      <c r="G3437" s="18">
        <f>HYPERLINK("D:\python\英语学习\voices\"&amp;B3437&amp;"_1.mp3","BrE")</f>
        <v/>
      </c>
      <c r="H3437" s="18">
        <f>HYPERLINK("D:\python\英语学习\voices\"&amp;B3437&amp;"_2.mp3","AmE")</f>
        <v/>
      </c>
      <c r="I3437" s="18">
        <f>HYPERLINK("http://dict.youdao.com/w/"&amp;B3437,"有道")</f>
        <v/>
      </c>
    </row>
    <row r="3438">
      <c r="B3438" s="1" t="inlineStr">
        <is>
          <t>bloodbath</t>
        </is>
      </c>
      <c r="C3438" s="17">
        <f>"n. 大屠杀"</f>
        <v/>
      </c>
      <c r="G3438" s="18">
        <f>HYPERLINK("D:\python\英语学习\voices\"&amp;B3438&amp;"_1.mp3","BrE")</f>
        <v/>
      </c>
      <c r="H3438" s="18">
        <f>HYPERLINK("D:\python\英语学习\voices\"&amp;B3438&amp;"_2.mp3","AmE")</f>
        <v/>
      </c>
      <c r="I3438" s="18">
        <f>HYPERLINK("http://dict.youdao.com/w/"&amp;B3438,"有道")</f>
        <v/>
      </c>
    </row>
    <row customHeight="1" ht="42.75" r="3439">
      <c r="B3439" s="1" t="inlineStr">
        <is>
          <t>scour</t>
        </is>
      </c>
      <c r="C3439" s="17">
        <f>"vi. 冲刷；擦；腹泻"&amp;CHAR(10)&amp;"vt. 擦亮，洗涤；冲洗，清除"&amp;CHAR(10)&amp;"n. 擦，冲刷；洗涤剂；（畜类等的）腹泻"</f>
        <v/>
      </c>
      <c r="G3439" s="18">
        <f>HYPERLINK("D:\python\英语学习\voices\"&amp;B3439&amp;"_1.mp3","BrE")</f>
        <v/>
      </c>
      <c r="H3439" s="18">
        <f>HYPERLINK("D:\python\英语学习\voices\"&amp;B3439&amp;"_2.mp3","AmE")</f>
        <v/>
      </c>
      <c r="I3439" s="18">
        <f>HYPERLINK("http://dict.youdao.com/w/"&amp;B3439,"有道")</f>
        <v/>
      </c>
    </row>
    <row r="3440">
      <c r="B3440" s="1" t="inlineStr">
        <is>
          <t>desecration</t>
        </is>
      </c>
      <c r="C3440" s="17">
        <f>"n. 亵渎神圣；污辱神物"</f>
        <v/>
      </c>
      <c r="G3440" s="18">
        <f>HYPERLINK("D:\python\英语学习\voices\"&amp;B3440&amp;"_1.mp3","BrE")</f>
        <v/>
      </c>
      <c r="H3440" s="18">
        <f>HYPERLINK("D:\python\英语学习\voices\"&amp;B3440&amp;"_2.mp3","AmE")</f>
        <v/>
      </c>
      <c r="I3440" s="18">
        <f>HYPERLINK("http://dict.youdao.com/w/"&amp;B3440,"有道")</f>
        <v/>
      </c>
    </row>
    <row customHeight="1" ht="28.5" r="3441">
      <c r="B3441" s="1" t="inlineStr">
        <is>
          <t>valiant</t>
        </is>
      </c>
      <c r="C3441" s="17">
        <f>"adj. 英勇的，勇敢的"&amp;CHAR(10)&amp;"n. 勇士；勇敢的人"</f>
        <v/>
      </c>
      <c r="E3441" t="inlineStr">
        <is>
          <t>the valiant hearts 勇士（军人等）</t>
        </is>
      </c>
      <c r="G3441" s="18">
        <f>HYPERLINK("D:\python\英语学习\voices\"&amp;B3441&amp;"_1.mp3","BrE")</f>
        <v/>
      </c>
      <c r="H3441" s="18">
        <f>HYPERLINK("D:\python\英语学习\voices\"&amp;B3441&amp;"_2.mp3","AmE")</f>
        <v/>
      </c>
      <c r="I3441" s="18">
        <f>HYPERLINK("http://dict.youdao.com/w/"&amp;B3441,"有道")</f>
        <v/>
      </c>
    </row>
    <row r="3442">
      <c r="B3442" s="1" t="inlineStr">
        <is>
          <t>one-sided</t>
        </is>
      </c>
      <c r="C3442" s="17">
        <f>"adj. 片面的，单方面的；不公正的"</f>
        <v/>
      </c>
      <c r="G3442" s="18">
        <f>HYPERLINK("D:\python\英语学习\voices\"&amp;B3442&amp;"_1.mp3","BrE")</f>
        <v/>
      </c>
      <c r="H3442" s="18">
        <f>HYPERLINK("D:\python\英语学习\voices\"&amp;B3442&amp;"_2.mp3","AmE")</f>
        <v/>
      </c>
      <c r="I3442" s="18">
        <f>HYPERLINK("http://dict.youdao.com/w/"&amp;B3442,"有道")</f>
        <v/>
      </c>
    </row>
    <row r="3443">
      <c r="B3443" s="1" t="inlineStr">
        <is>
          <t>enthrall</t>
        </is>
      </c>
      <c r="C3443" s="17">
        <f>"vt. 迷住，使着迷"</f>
        <v/>
      </c>
      <c r="G3443" s="18">
        <f>HYPERLINK("D:\python\英语学习\voices\"&amp;B3443&amp;"_1.mp3","BrE")</f>
        <v/>
      </c>
      <c r="H3443" s="18">
        <f>HYPERLINK("D:\python\英语学习\voices\"&amp;B3443&amp;"_2.mp3","AmE")</f>
        <v/>
      </c>
      <c r="I3443" s="18">
        <f>HYPERLINK("http://dict.youdao.com/w/"&amp;B3443,"有道")</f>
        <v/>
      </c>
    </row>
    <row customHeight="1" ht="28.5" r="3444">
      <c r="B3444" s="1" t="inlineStr">
        <is>
          <t>prophesy</t>
        </is>
      </c>
      <c r="C3444" s="17">
        <f>"v. 预言；受神启示而说（或写）；作为先知；传教"</f>
        <v/>
      </c>
      <c r="G3444" s="18">
        <f>HYPERLINK("D:\python\英语学习\voices\"&amp;B3444&amp;"_1.mp3","BrE")</f>
        <v/>
      </c>
      <c r="H3444" s="18">
        <f>HYPERLINK("D:\python\英语学习\voices\"&amp;B3444&amp;"_2.mp3","AmE")</f>
        <v/>
      </c>
      <c r="I3444" s="18">
        <f>HYPERLINK("http://dict.youdao.com/w/"&amp;B3444,"有道")</f>
        <v/>
      </c>
    </row>
    <row r="3445">
      <c r="A3445" s="1" t="inlineStr">
        <is>
          <t>practice</t>
        </is>
      </c>
      <c r="B3445" s="1" t="inlineStr">
        <is>
          <t>belittle</t>
        </is>
      </c>
      <c r="C3445" s="7">
        <f>"vt. 轻视；贬低；使相形见小"</f>
        <v/>
      </c>
      <c r="E3445" s="16" t="inlineStr">
        <is>
          <t>look down upon看不起</t>
        </is>
      </c>
      <c r="G3445" s="18">
        <f>HYPERLINK("D:\python\英语学习\voices\"&amp;B3445&amp;"_1.mp3","BrE")</f>
        <v/>
      </c>
      <c r="H3445" s="18">
        <f>HYPERLINK("D:\python\英语学习\voices\"&amp;B3445&amp;"_2.mp3","AmE")</f>
        <v/>
      </c>
      <c r="I3445" s="18">
        <f>HYPERLINK("http://dict.youdao.com/w/"&amp;B3445,"有道")</f>
        <v/>
      </c>
    </row>
    <row r="3446">
      <c r="B3446" s="1" t="inlineStr">
        <is>
          <t>unleash</t>
        </is>
      </c>
      <c r="C3446" s="17">
        <f>"v. 发泄；（使）爆发；放开，解除束缚"</f>
        <v/>
      </c>
      <c r="G3446" s="18">
        <f>HYPERLINK("D:\python\英语学习\voices\"&amp;B3446&amp;"_1.mp3","BrE")</f>
        <v/>
      </c>
      <c r="H3446" s="18">
        <f>HYPERLINK("D:\python\英语学习\voices\"&amp;B3446&amp;"_2.mp3","AmE")</f>
        <v/>
      </c>
      <c r="I3446" s="18">
        <f>HYPERLINK("http://dict.youdao.com/w/"&amp;B3446,"有道")</f>
        <v/>
      </c>
    </row>
    <row r="3447">
      <c r="B3447" s="1" t="inlineStr">
        <is>
          <t>authoritative</t>
        </is>
      </c>
      <c r="C3447" s="17">
        <f>"adj. 有权威的；命令式的；当局的"</f>
        <v/>
      </c>
      <c r="G3447" s="18">
        <f>HYPERLINK("D:\python\英语学习\voices\"&amp;B3447&amp;"_1.mp3","BrE")</f>
        <v/>
      </c>
      <c r="H3447" s="18">
        <f>HYPERLINK("D:\python\英语学习\voices\"&amp;B3447&amp;"_2.mp3","AmE")</f>
        <v/>
      </c>
      <c r="I3447" s="18">
        <f>HYPERLINK("http://dict.youdao.com/w/"&amp;B3447,"有道")</f>
        <v/>
      </c>
    </row>
    <row customHeight="1" ht="28.5" r="3448">
      <c r="B3448" s="1" t="inlineStr">
        <is>
          <t>unlikely</t>
        </is>
      </c>
      <c r="C3448" s="17">
        <f>"adj. 不太可能的；没希望的"&amp;CHAR(10)&amp;"adv. 未必"</f>
        <v/>
      </c>
      <c r="G3448" s="18">
        <f>HYPERLINK("D:\python\英语学习\voices\"&amp;B3448&amp;"_1.mp3","BrE")</f>
        <v/>
      </c>
      <c r="H3448" s="18">
        <f>HYPERLINK("D:\python\英语学习\voices\"&amp;B3448&amp;"_2.mp3","AmE")</f>
        <v/>
      </c>
      <c r="I3448" s="18">
        <f>HYPERLINK("http://dict.youdao.com/w/"&amp;B3448,"有道")</f>
        <v/>
      </c>
    </row>
    <row customHeight="1" ht="28.5" r="3449">
      <c r="B3449" s="1" t="inlineStr">
        <is>
          <t>immersive</t>
        </is>
      </c>
      <c r="C3449" s="17">
        <f>"adj. 拟真的；沉浸式的；沉浸感的；增加沉浸感的"</f>
        <v/>
      </c>
      <c r="G3449" s="18">
        <f>HYPERLINK("D:\python\英语学习\voices\"&amp;B3449&amp;"_1.mp3","BrE")</f>
        <v/>
      </c>
      <c r="H3449" s="18">
        <f>HYPERLINK("D:\python\英语学习\voices\"&amp;B3449&amp;"_2.mp3","AmE")</f>
        <v/>
      </c>
      <c r="I3449" s="18">
        <f>HYPERLINK("http://dict.youdao.com/w/"&amp;B3449,"有道")</f>
        <v/>
      </c>
    </row>
    <row r="3450">
      <c r="B3450" s="1" t="inlineStr">
        <is>
          <t>openness</t>
        </is>
      </c>
      <c r="C3450" s="17">
        <f>"n. 公开；宽阔；率真"</f>
        <v/>
      </c>
      <c r="G3450" s="18">
        <f>HYPERLINK("D:\python\英语学习\voices\"&amp;B3450&amp;"_1.mp3","BrE")</f>
        <v/>
      </c>
      <c r="H3450" s="18">
        <f>HYPERLINK("D:\python\英语学习\voices\"&amp;B3450&amp;"_2.mp3","AmE")</f>
        <v/>
      </c>
      <c r="I3450" s="18">
        <f>HYPERLINK("http://dict.youdao.com/w/"&amp;B3450,"有道")</f>
        <v/>
      </c>
    </row>
    <row customHeight="1" ht="28.5" r="3451">
      <c r="B3451" s="1" t="inlineStr">
        <is>
          <t>detrimental</t>
        </is>
      </c>
      <c r="C3451" s="17">
        <f>"adj. 不利的；有害的"&amp;CHAR(10)&amp;"n. 有害的人（或物）；不受欢迎的求婚者"</f>
        <v/>
      </c>
      <c r="G3451" s="18">
        <f>HYPERLINK("D:\python\英语学习\voices\"&amp;B3451&amp;"_1.mp3","BrE")</f>
        <v/>
      </c>
      <c r="H3451" s="18">
        <f>HYPERLINK("D:\python\英语学习\voices\"&amp;B3451&amp;"_2.mp3","AmE")</f>
        <v/>
      </c>
      <c r="I3451" s="18">
        <f>HYPERLINK("http://dict.youdao.com/w/"&amp;B3451,"有道")</f>
        <v/>
      </c>
    </row>
    <row r="3452">
      <c r="B3452" s="1" t="inlineStr">
        <is>
          <t>mutually</t>
        </is>
      </c>
      <c r="C3452" s="17">
        <f>"adv. 互相地；互助"</f>
        <v/>
      </c>
      <c r="G3452" s="18">
        <f>HYPERLINK("D:\python\英语学习\voices\"&amp;B3452&amp;"_1.mp3","BrE")</f>
        <v/>
      </c>
      <c r="H3452" s="18">
        <f>HYPERLINK("D:\python\英语学习\voices\"&amp;B3452&amp;"_2.mp3","AmE")</f>
        <v/>
      </c>
      <c r="I3452" s="18">
        <f>HYPERLINK("http://dict.youdao.com/w/"&amp;B3452,"有道")</f>
        <v/>
      </c>
    </row>
    <row r="3453">
      <c r="B3453" s="1" t="inlineStr">
        <is>
          <t>realization</t>
        </is>
      </c>
      <c r="C3453" s="17">
        <f>"n. 实现；领悟"</f>
        <v/>
      </c>
      <c r="G3453" s="18">
        <f>HYPERLINK("D:\python\英语学习\voices\"&amp;B3453&amp;"_1.mp3","BrE")</f>
        <v/>
      </c>
      <c r="H3453" s="18">
        <f>HYPERLINK("D:\python\英语学习\voices\"&amp;B3453&amp;"_2.mp3","AmE")</f>
        <v/>
      </c>
      <c r="I3453" s="18">
        <f>HYPERLINK("http://dict.youdao.com/w/"&amp;B3453,"有道")</f>
        <v/>
      </c>
    </row>
    <row r="3454">
      <c r="A3454" t="inlineStr">
        <is>
          <t>practice</t>
        </is>
      </c>
      <c r="B3454" s="1" t="inlineStr">
        <is>
          <t>pragmatic</t>
        </is>
      </c>
      <c r="C3454" s="17">
        <f>"adj. 实际的；实用主义的"</f>
        <v/>
      </c>
      <c r="G3454" s="18">
        <f>HYPERLINK("D:\python\英语学习\voices\"&amp;B3454&amp;"_1.mp3","BrE")</f>
        <v/>
      </c>
      <c r="H3454" s="18">
        <f>HYPERLINK("D:\python\英语学习\voices\"&amp;B3454&amp;"_2.mp3","AmE")</f>
        <v/>
      </c>
      <c r="I3454" s="18">
        <f>HYPERLINK("http://dict.youdao.com/w/"&amp;B3454,"有道")</f>
        <v/>
      </c>
    </row>
    <row customHeight="1" ht="28.5" r="3455">
      <c r="B3455" s="1" t="inlineStr">
        <is>
          <t>resonate</t>
        </is>
      </c>
      <c r="C3455" s="17">
        <f>"vt. 共鸣；共振"&amp;CHAR(10)&amp;"vi. 共鸣；共振"</f>
        <v/>
      </c>
      <c r="G3455" s="18">
        <f>HYPERLINK("D:\python\英语学习\voices\"&amp;B3455&amp;"_1.mp3","BrE")</f>
        <v/>
      </c>
      <c r="H3455" s="18">
        <f>HYPERLINK("D:\python\英语学习\voices\"&amp;B3455&amp;"_2.mp3","AmE")</f>
        <v/>
      </c>
      <c r="I3455" s="18">
        <f>HYPERLINK("http://dict.youdao.com/w/"&amp;B3455,"有道")</f>
        <v/>
      </c>
    </row>
    <row r="3456">
      <c r="B3456" s="1" t="inlineStr">
        <is>
          <t>implicate</t>
        </is>
      </c>
      <c r="C3456" s="17">
        <f>"vt. 使卷入；涉及；暗指；影响"</f>
        <v/>
      </c>
      <c r="G3456" s="18">
        <f>HYPERLINK("D:\python\英语学习\voices\"&amp;B3456&amp;"_1.mp3","BrE")</f>
        <v/>
      </c>
      <c r="H3456" s="18">
        <f>HYPERLINK("D:\python\英语学习\voices\"&amp;B3456&amp;"_2.mp3","AmE")</f>
        <v/>
      </c>
      <c r="I3456" s="18">
        <f>HYPERLINK("http://dict.youdao.com/w/"&amp;B3456,"有道")</f>
        <v/>
      </c>
    </row>
    <row r="3457">
      <c r="B3457" s="1" t="inlineStr">
        <is>
          <t>gigantic</t>
        </is>
      </c>
      <c r="C3457" s="17">
        <f>"adj. 巨大的，庞大的"</f>
        <v/>
      </c>
      <c r="E3457" s="16" t="inlineStr">
        <is>
          <t>注意发音-[dʒaɪ'ɡæntɪk]</t>
        </is>
      </c>
      <c r="G3457" s="18">
        <f>HYPERLINK("D:\python\英语学习\voices\"&amp;B3457&amp;"_1.mp3","BrE")</f>
        <v/>
      </c>
      <c r="H3457" s="18">
        <f>HYPERLINK("D:\python\英语学习\voices\"&amp;B3457&amp;"_2.mp3","AmE")</f>
        <v/>
      </c>
      <c r="I3457" s="18">
        <f>HYPERLINK("http://dict.youdao.com/w/"&amp;B3457,"有道")</f>
        <v/>
      </c>
    </row>
    <row r="3458">
      <c r="B3458" s="1" t="inlineStr">
        <is>
          <t>mislead</t>
        </is>
      </c>
      <c r="C3458" s="17">
        <f>"vt. 误导；带错"</f>
        <v/>
      </c>
      <c r="G3458" s="18">
        <f>HYPERLINK("D:\python\英语学习\voices\"&amp;B3458&amp;"_1.mp3","BrE")</f>
        <v/>
      </c>
      <c r="H3458" s="18">
        <f>HYPERLINK("D:\python\英语学习\voices\"&amp;B3458&amp;"_2.mp3","AmE")</f>
        <v/>
      </c>
      <c r="I3458" s="18">
        <f>HYPERLINK("http://dict.youdao.com/w/"&amp;B3458,"有道")</f>
        <v/>
      </c>
    </row>
    <row r="3459">
      <c r="B3459" s="1" t="inlineStr">
        <is>
          <t>dubiety</t>
        </is>
      </c>
      <c r="C3459" s="17">
        <f>"n. 可疑的东西；可疑性"</f>
        <v/>
      </c>
      <c r="G3459" s="18">
        <f>HYPERLINK("D:\python\英语学习\voices\"&amp;B3459&amp;"_1.mp3","BrE")</f>
        <v/>
      </c>
      <c r="H3459" s="18">
        <f>HYPERLINK("D:\python\英语学习\voices\"&amp;B3459&amp;"_2.mp3","AmE")</f>
        <v/>
      </c>
      <c r="I3459" s="18">
        <f>HYPERLINK("http://dict.youdao.com/w/"&amp;B3459,"有道")</f>
        <v/>
      </c>
    </row>
    <row r="3460">
      <c r="B3460" s="1" t="inlineStr">
        <is>
          <t>remarkable</t>
        </is>
      </c>
      <c r="C3460" s="17">
        <f>"adj. 卓越的；非凡的；值得注意的"</f>
        <v/>
      </c>
      <c r="G3460" s="18">
        <f>HYPERLINK("D:\python\英语学习\voices\"&amp;B3460&amp;"_1.mp3","BrE")</f>
        <v/>
      </c>
      <c r="H3460" s="18">
        <f>HYPERLINK("D:\python\英语学习\voices\"&amp;B3460&amp;"_2.mp3","AmE")</f>
        <v/>
      </c>
      <c r="I3460" s="18">
        <f>HYPERLINK("http://dict.youdao.com/w/"&amp;B3460,"有道")</f>
        <v/>
      </c>
    </row>
    <row r="3461">
      <c r="B3461" s="1" t="inlineStr">
        <is>
          <t>idiosyncratic</t>
        </is>
      </c>
      <c r="C3461" s="17">
        <f>"adj. 特质的；特殊的；异质的"</f>
        <v/>
      </c>
      <c r="G3461" s="18">
        <f>HYPERLINK("D:\python\英语学习\voices\"&amp;B3461&amp;"_1.mp3","BrE")</f>
        <v/>
      </c>
      <c r="H3461" s="18">
        <f>HYPERLINK("D:\python\英语学习\voices\"&amp;B3461&amp;"_2.mp3","AmE")</f>
        <v/>
      </c>
      <c r="I3461" s="18">
        <f>HYPERLINK("http://dict.youdao.com/w/"&amp;B3461,"有道")</f>
        <v/>
      </c>
    </row>
    <row customHeight="1" ht="28.5" r="3462">
      <c r="B3462" s="1" t="inlineStr">
        <is>
          <t>restrained</t>
        </is>
      </c>
      <c r="C3462" s="17">
        <f>"adj. 克制的，受限制的；拘谨的"&amp;CHAR(10)&amp;"v. 抑制；约束（restrain的过去分词）"</f>
        <v/>
      </c>
      <c r="G3462" s="18">
        <f>HYPERLINK("D:\python\英语学习\voices\"&amp;B3462&amp;"_1.mp3","BrE")</f>
        <v/>
      </c>
      <c r="H3462" s="18">
        <f>HYPERLINK("D:\python\英语学习\voices\"&amp;B3462&amp;"_2.mp3","AmE")</f>
        <v/>
      </c>
      <c r="I3462" s="18">
        <f>HYPERLINK("http://dict.youdao.com/w/"&amp;B3462,"有道")</f>
        <v/>
      </c>
    </row>
    <row r="3463">
      <c r="B3463" s="1" t="inlineStr">
        <is>
          <t>reticence</t>
        </is>
      </c>
      <c r="C3463" s="17">
        <f>"n. 沉默寡言"</f>
        <v/>
      </c>
      <c r="G3463" s="18">
        <f>HYPERLINK("D:\python\英语学习\voices\"&amp;B3463&amp;"_1.mp3","BrE")</f>
        <v/>
      </c>
      <c r="H3463" s="18">
        <f>HYPERLINK("D:\python\英语学习\voices\"&amp;B3463&amp;"_2.mp3","AmE")</f>
        <v/>
      </c>
      <c r="I3463" s="18">
        <f>HYPERLINK("http://dict.youdao.com/w/"&amp;B3463,"有道")</f>
        <v/>
      </c>
    </row>
    <row r="3464">
      <c r="B3464" s="1" t="inlineStr">
        <is>
          <t>establish</t>
        </is>
      </c>
      <c r="C3464" s="17">
        <f>"v. 建立，创立；确立；获得接受；查实，证实"</f>
        <v/>
      </c>
      <c r="G3464" s="18">
        <f>HYPERLINK("D:\python\英语学习\voices\"&amp;B3464&amp;"_1.mp3","BrE")</f>
        <v/>
      </c>
      <c r="H3464" s="18">
        <f>HYPERLINK("D:\python\英语学习\voices\"&amp;B3464&amp;"_2.mp3","AmE")</f>
        <v/>
      </c>
      <c r="I3464" s="18">
        <f>HYPERLINK("http://dict.youdao.com/w/"&amp;B3464,"有道")</f>
        <v/>
      </c>
    </row>
    <row r="3465">
      <c r="B3465" s="1" t="inlineStr">
        <is>
          <t>subtlety</t>
        </is>
      </c>
      <c r="C3465" s="17">
        <f>"n. 微妙；敏锐；精明"</f>
        <v/>
      </c>
      <c r="G3465" s="18">
        <f>HYPERLINK("D:\python\英语学习\voices\"&amp;B3465&amp;"_1.mp3","BrE")</f>
        <v/>
      </c>
      <c r="H3465" s="18">
        <f>HYPERLINK("D:\python\英语学习\voices\"&amp;B3465&amp;"_2.mp3","AmE")</f>
        <v/>
      </c>
      <c r="I3465" s="18">
        <f>HYPERLINK("http://dict.youdao.com/w/"&amp;B3465,"有道")</f>
        <v/>
      </c>
    </row>
    <row customHeight="1" ht="28.5" r="3466">
      <c r="B3466" s="1" t="inlineStr">
        <is>
          <t>subtle</t>
        </is>
      </c>
      <c r="C3466" s="17">
        <f>"adj. 微妙的；精细的；敏感的；狡猾的；稀薄的"</f>
        <v/>
      </c>
      <c r="G3466" s="18">
        <f>HYPERLINK("D:\python\英语学习\voices\"&amp;B3466&amp;"_1.mp3","BrE")</f>
        <v/>
      </c>
      <c r="H3466" s="18">
        <f>HYPERLINK("D:\python\英语学习\voices\"&amp;B3466&amp;"_2.mp3","AmE")</f>
        <v/>
      </c>
      <c r="I3466" s="18">
        <f>HYPERLINK("http://dict.youdao.com/w/"&amp;B3466,"有道")</f>
        <v/>
      </c>
    </row>
    <row r="3467">
      <c r="B3467" s="1" t="inlineStr">
        <is>
          <t>encumber</t>
        </is>
      </c>
      <c r="C3467" s="17">
        <f>"vt. 阻塞；妨害；拖累"</f>
        <v/>
      </c>
      <c r="G3467" s="18">
        <f>HYPERLINK("D:\python\英语学习\voices\"&amp;B3467&amp;"_1.mp3","BrE")</f>
        <v/>
      </c>
      <c r="H3467" s="18">
        <f>HYPERLINK("D:\python\英语学习\voices\"&amp;B3467&amp;"_2.mp3","AmE")</f>
        <v/>
      </c>
      <c r="I3467" s="18">
        <f>HYPERLINK("http://dict.youdao.com/w/"&amp;B3467,"有道")</f>
        <v/>
      </c>
    </row>
    <row customHeight="1" ht="57" r="3468">
      <c r="A3468" s="1" t="inlineStr">
        <is>
          <t>practice</t>
        </is>
      </c>
      <c r="B3468" s="1" t="inlineStr">
        <is>
          <t>expediency</t>
        </is>
      </c>
      <c r="C3468" s="7">
        <f>"n. 方便，权宜；私利；权宜之计"</f>
        <v/>
      </c>
      <c r="G3468" s="18">
        <f>HYPERLINK("D:\python\英语学习\voices\"&amp;B3468&amp;"_1.mp3","BrE")</f>
        <v/>
      </c>
      <c r="H3468" s="18">
        <f>HYPERLINK("D:\python\英语学习\voices\"&amp;B3468&amp;"_2.mp3","AmE")</f>
        <v/>
      </c>
      <c r="I3468" s="18">
        <f>HYPERLINK("http://dict.youdao.com/w/"&amp;B3468,"有道")</f>
        <v/>
      </c>
    </row>
    <row r="3469">
      <c r="B3469" s="1" t="inlineStr">
        <is>
          <t>sensationalism</t>
        </is>
      </c>
      <c r="C3469" s="17">
        <f>"n. 追求轰动效应；哗众取宠"</f>
        <v/>
      </c>
      <c r="G3469" s="18">
        <f>HYPERLINK("D:\python\英语学习\voices\"&amp;B3469&amp;"_1.mp3","BrE")</f>
        <v/>
      </c>
      <c r="H3469" s="18">
        <f>HYPERLINK("D:\python\英语学习\voices\"&amp;B3469&amp;"_2.mp3","AmE")</f>
        <v/>
      </c>
      <c r="I3469" s="18">
        <f>HYPERLINK("http://dict.youdao.com/w/"&amp;B3469,"有道")</f>
        <v/>
      </c>
    </row>
    <row r="3470">
      <c r="B3470" s="1" t="inlineStr">
        <is>
          <t>insular</t>
        </is>
      </c>
      <c r="C3470" s="17">
        <f>"adj. 孤立的；与世隔绝的；海岛的；岛民的"</f>
        <v/>
      </c>
      <c r="G3470" s="18">
        <f>HYPERLINK("D:\python\英语学习\voices\"&amp;B3470&amp;"_1.mp3","BrE")</f>
        <v/>
      </c>
      <c r="H3470" s="18">
        <f>HYPERLINK("D:\python\英语学习\voices\"&amp;B3470&amp;"_2.mp3","AmE")</f>
        <v/>
      </c>
      <c r="I3470" s="18">
        <f>HYPERLINK("http://dict.youdao.com/w/"&amp;B3470,"有道")</f>
        <v/>
      </c>
    </row>
    <row r="3471">
      <c r="B3471" s="1" t="inlineStr">
        <is>
          <t>obfuscate</t>
        </is>
      </c>
      <c r="C3471" s="17">
        <f>"vt. 使模糊；使迷乱；弄暗"</f>
        <v/>
      </c>
      <c r="G3471" s="18">
        <f>HYPERLINK("D:\python\英语学习\voices\"&amp;B3471&amp;"_1.mp3","BrE")</f>
        <v/>
      </c>
      <c r="H3471" s="18">
        <f>HYPERLINK("D:\python\英语学习\voices\"&amp;B3471&amp;"_2.mp3","AmE")</f>
        <v/>
      </c>
      <c r="I3471" s="18">
        <f>HYPERLINK("http://dict.youdao.com/w/"&amp;B3471,"有道")</f>
        <v/>
      </c>
    </row>
    <row customHeight="1" ht="28.5" r="3472">
      <c r="B3472" s="1" t="inlineStr">
        <is>
          <t>respite</t>
        </is>
      </c>
      <c r="C3472" s="17">
        <f>"n. 缓解；暂缓；暂时的休息；缓期执行"&amp;CHAR(10)&amp;"vt. 使缓解；使暂缓；使延期；缓期执行"</f>
        <v/>
      </c>
      <c r="E3472" s="6" t="inlineStr">
        <is>
          <t>注意发音-bit</t>
        </is>
      </c>
      <c r="G3472" s="18">
        <f>HYPERLINK("D:\python\英语学习\voices\"&amp;B3472&amp;"_1.mp3","BrE")</f>
        <v/>
      </c>
      <c r="H3472" s="18">
        <f>HYPERLINK("D:\python\英语学习\voices\"&amp;B3472&amp;"_2.mp3","AmE")</f>
        <v/>
      </c>
      <c r="I3472" s="18">
        <f>HYPERLINK("http://dict.youdao.com/w/"&amp;B3472,"有道")</f>
        <v/>
      </c>
    </row>
    <row r="3473">
      <c r="B3473" s="1" t="inlineStr">
        <is>
          <t>introspective</t>
        </is>
      </c>
      <c r="C3473" s="17">
        <f>"adj. 内省的；反省的"</f>
        <v/>
      </c>
      <c r="E3473" s="16" t="inlineStr">
        <is>
          <t>tending to think a lot about your own thoughts, feelings, etc.</t>
        </is>
      </c>
      <c r="G3473" s="18">
        <f>HYPERLINK("D:\python\英语学习\voices\"&amp;B3473&amp;"_1.mp3","BrE")</f>
        <v/>
      </c>
      <c r="H3473" s="18">
        <f>HYPERLINK("D:\python\英语学习\voices\"&amp;B3473&amp;"_2.mp3","AmE")</f>
        <v/>
      </c>
      <c r="I3473" s="18">
        <f>HYPERLINK("http://dict.youdao.com/w/"&amp;B3473,"有道")</f>
        <v/>
      </c>
    </row>
    <row r="3474">
      <c r="B3474" s="1" t="inlineStr">
        <is>
          <t>acerbic</t>
        </is>
      </c>
      <c r="C3474" s="17">
        <f>"adj. 尖刻的（等于acerb）；酸的；辛辣的"</f>
        <v/>
      </c>
      <c r="G3474" s="18">
        <f>HYPERLINK("D:\python\英语学习\voices\"&amp;B3474&amp;"_1.mp3","BrE")</f>
        <v/>
      </c>
      <c r="H3474" s="18">
        <f>HYPERLINK("D:\python\英语学习\voices\"&amp;B3474&amp;"_2.mp3","AmE")</f>
        <v/>
      </c>
      <c r="I3474" s="18">
        <f>HYPERLINK("http://dict.youdao.com/w/"&amp;B3474,"有道")</f>
        <v/>
      </c>
    </row>
    <row r="3475">
      <c r="B3475" s="1" t="inlineStr">
        <is>
          <t>unwieldy</t>
        </is>
      </c>
      <c r="C3475" s="17">
        <f>"adj. 笨拙的；笨重的；不灵便的；难处理的"</f>
        <v/>
      </c>
      <c r="G3475" s="18">
        <f>HYPERLINK("D:\python\英语学习\voices\"&amp;B3475&amp;"_1.mp3","BrE")</f>
        <v/>
      </c>
      <c r="H3475" s="18">
        <f>HYPERLINK("D:\python\英语学习\voices\"&amp;B3475&amp;"_2.mp3","AmE")</f>
        <v/>
      </c>
      <c r="I3475" s="18">
        <f>HYPERLINK("http://dict.youdao.com/w/"&amp;B3475,"有道")</f>
        <v/>
      </c>
    </row>
    <row r="3476">
      <c r="B3476" s="1" t="inlineStr">
        <is>
          <t>wieldy</t>
        </is>
      </c>
      <c r="C3476" s="17">
        <f>"adj. 易于使用的；适合的"</f>
        <v/>
      </c>
      <c r="G3476" s="18">
        <f>HYPERLINK("D:\python\英语学习\voices\"&amp;B3476&amp;"_1.mp3","BrE")</f>
        <v/>
      </c>
      <c r="H3476" s="18">
        <f>HYPERLINK("D:\python\英语学习\voices\"&amp;B3476&amp;"_2.mp3","AmE")</f>
        <v/>
      </c>
      <c r="I3476" s="18">
        <f>HYPERLINK("http://dict.youdao.com/w/"&amp;B3476,"有道")</f>
        <v/>
      </c>
    </row>
    <row r="3477">
      <c r="B3477" s="1" t="inlineStr">
        <is>
          <t>grandiose</t>
        </is>
      </c>
      <c r="C3477" s="17">
        <f>"adj. 宏伟的；堂皇的；浮夸的；宏大的"</f>
        <v/>
      </c>
      <c r="D3477" s="16" t="inlineStr">
        <is>
          <t>-iose表过度的</t>
        </is>
      </c>
      <c r="G3477" s="18">
        <f>HYPERLINK("D:\python\英语学习\voices\"&amp;B3477&amp;"_1.mp3","BrE")</f>
        <v/>
      </c>
      <c r="H3477" s="18">
        <f>HYPERLINK("D:\python\英语学习\voices\"&amp;B3477&amp;"_2.mp3","AmE")</f>
        <v/>
      </c>
      <c r="I3477" s="18">
        <f>HYPERLINK("http://dict.youdao.com/w/"&amp;B3477,"有道")</f>
        <v/>
      </c>
    </row>
    <row customHeight="1" ht="28.5" r="3478">
      <c r="B3478" s="1" t="inlineStr">
        <is>
          <t>tonic</t>
        </is>
      </c>
      <c r="C3478" s="17">
        <f>"n. 补药；主调音或基音"&amp;CHAR(10)&amp;"adj. 滋补的；声调的；使精神振作的"</f>
        <v/>
      </c>
      <c r="G3478" s="18">
        <f>HYPERLINK("D:\python\英语学习\voices\"&amp;B3478&amp;"_1.mp3","BrE")</f>
        <v/>
      </c>
      <c r="H3478" s="18">
        <f>HYPERLINK("D:\python\英语学习\voices\"&amp;B3478&amp;"_2.mp3","AmE")</f>
        <v/>
      </c>
      <c r="I3478" s="18">
        <f>HYPERLINK("http://dict.youdao.com/w/"&amp;B3478,"有道")</f>
        <v/>
      </c>
    </row>
    <row r="3479">
      <c r="B3479" s="1" t="inlineStr">
        <is>
          <t>vindication</t>
        </is>
      </c>
      <c r="C3479" s="17">
        <f>"n. 辩护；证明无罪"</f>
        <v/>
      </c>
      <c r="D3479" s="16" t="inlineStr">
        <is>
          <t>vindicate证明无罪</t>
        </is>
      </c>
      <c r="G3479" s="18">
        <f>HYPERLINK("D:\python\英语学习\voices\"&amp;B3479&amp;"_1.mp3","BrE")</f>
        <v/>
      </c>
      <c r="H3479" s="18">
        <f>HYPERLINK("D:\python\英语学习\voices\"&amp;B3479&amp;"_2.mp3","AmE")</f>
        <v/>
      </c>
      <c r="I3479" s="18">
        <f>HYPERLINK("http://dict.youdao.com/w/"&amp;B3479,"有道")</f>
        <v/>
      </c>
    </row>
    <row r="3480">
      <c r="B3480" s="1" t="inlineStr">
        <is>
          <t>enormity</t>
        </is>
      </c>
      <c r="C3480" s="17">
        <f>"n. 巨大；暴行；极恶"</f>
        <v/>
      </c>
      <c r="G3480" s="18">
        <f>HYPERLINK("D:\python\英语学习\voices\"&amp;B3480&amp;"_1.mp3","BrE")</f>
        <v/>
      </c>
      <c r="H3480" s="18">
        <f>HYPERLINK("D:\python\英语学习\voices\"&amp;B3480&amp;"_2.mp3","AmE")</f>
        <v/>
      </c>
      <c r="I3480" s="18">
        <f>HYPERLINK("http://dict.youdao.com/w/"&amp;B3480,"有道")</f>
        <v/>
      </c>
    </row>
    <row r="3481">
      <c r="B3481" s="1" t="inlineStr">
        <is>
          <t>abhorrent</t>
        </is>
      </c>
      <c r="C3481" s="17">
        <f>"adj. 可恶的；厌恶的；格格不入的"</f>
        <v/>
      </c>
      <c r="D3481" s="16" t="inlineStr">
        <is>
          <t>horrent毛骨悚然的 可怕的</t>
        </is>
      </c>
      <c r="G3481" s="18">
        <f>HYPERLINK("D:\python\英语学习\voices\"&amp;B3481&amp;"_1.mp3","BrE")</f>
        <v/>
      </c>
      <c r="H3481" s="18">
        <f>HYPERLINK("D:\python\英语学习\voices\"&amp;B3481&amp;"_2.mp3","AmE")</f>
        <v/>
      </c>
      <c r="I3481" s="18">
        <f>HYPERLINK("http://dict.youdao.com/w/"&amp;B3481,"有道")</f>
        <v/>
      </c>
    </row>
    <row customHeight="1" ht="28.5" r="3482">
      <c r="B3482" s="1" t="inlineStr">
        <is>
          <t>horrent</t>
        </is>
      </c>
      <c r="C3482" s="17">
        <f>"adj. 可怕的；倒竖的；毛骨悚然的（等于horrendous）"</f>
        <v/>
      </c>
      <c r="G3482" s="18">
        <f>HYPERLINK("D:\python\英语学习\voices\"&amp;B3482&amp;"_1.mp3","BrE")</f>
        <v/>
      </c>
      <c r="H3482" s="18">
        <f>HYPERLINK("D:\python\英语学习\voices\"&amp;B3482&amp;"_2.mp3","AmE")</f>
        <v/>
      </c>
      <c r="I3482" s="18">
        <f>HYPERLINK("http://dict.youdao.com/w/"&amp;B3482,"有道")</f>
        <v/>
      </c>
    </row>
    <row r="3483">
      <c r="B3483" s="1" t="inlineStr">
        <is>
          <t>instigate</t>
        </is>
      </c>
      <c r="C3483" s="17">
        <f>"vt. 唆使；煽动；教唆；怂恿"</f>
        <v/>
      </c>
      <c r="G3483" s="18">
        <f>HYPERLINK("D:\python\英语学习\voices\"&amp;B3483&amp;"_1.mp3","BrE")</f>
        <v/>
      </c>
      <c r="H3483" s="18">
        <f>HYPERLINK("D:\python\英语学习\voices\"&amp;B3483&amp;"_2.mp3","AmE")</f>
        <v/>
      </c>
      <c r="I3483" s="18">
        <f>HYPERLINK("http://dict.youdao.com/w/"&amp;B3483,"有道")</f>
        <v/>
      </c>
    </row>
    <row customHeight="1" ht="42.75" r="3484">
      <c r="B3484" s="1" t="inlineStr">
        <is>
          <t>encumbered</t>
        </is>
      </c>
      <c r="C3484" s="17">
        <f>"adj. 妨碍性的"&amp;CHAR(10)&amp;"v. 阻碍；使承担义务；堵塞（encumber的过去分词）"</f>
        <v/>
      </c>
      <c r="G3484" s="18">
        <f>HYPERLINK("D:\python\英语学习\voices\"&amp;B3484&amp;"_1.mp3","BrE")</f>
        <v/>
      </c>
      <c r="H3484" s="18">
        <f>HYPERLINK("D:\python\英语学习\voices\"&amp;B3484&amp;"_2.mp3","AmE")</f>
        <v/>
      </c>
      <c r="I3484" s="18">
        <f>HYPERLINK("http://dict.youdao.com/w/"&amp;B3484,"有道")</f>
        <v/>
      </c>
    </row>
    <row r="3485">
      <c r="B3485" s="1" t="inlineStr">
        <is>
          <t>unencumbered</t>
        </is>
      </c>
      <c r="C3485" s="17">
        <f>"adj. 没有阻碍的；没有负担的；不受妨碍的"</f>
        <v/>
      </c>
      <c r="E3485" s="16" t="inlineStr">
        <is>
          <t>不被打扰</t>
        </is>
      </c>
      <c r="G3485" s="18">
        <f>HYPERLINK("D:\python\英语学习\voices\"&amp;B3485&amp;"_1.mp3","BrE")</f>
        <v/>
      </c>
      <c r="H3485" s="18">
        <f>HYPERLINK("D:\python\英语学习\voices\"&amp;B3485&amp;"_2.mp3","AmE")</f>
        <v/>
      </c>
      <c r="I3485" s="18">
        <f>HYPERLINK("http://dict.youdao.com/w/"&amp;B3485,"有道")</f>
        <v/>
      </c>
    </row>
    <row r="3486">
      <c r="B3486" s="1" t="inlineStr">
        <is>
          <t>somber</t>
        </is>
      </c>
      <c r="C3486" s="17">
        <f>"adj. 忧郁的；昏暗的；严峻的；阴天的"</f>
        <v/>
      </c>
      <c r="G3486" s="18">
        <f>HYPERLINK("D:\python\英语学习\voices\"&amp;B3486&amp;"_1.mp3","BrE")</f>
        <v/>
      </c>
      <c r="H3486" s="18">
        <f>HYPERLINK("D:\python\英语学习\voices\"&amp;B3486&amp;"_2.mp3","AmE")</f>
        <v/>
      </c>
      <c r="I3486" s="18">
        <f>HYPERLINK("http://dict.youdao.com/w/"&amp;B3486,"有道")</f>
        <v/>
      </c>
    </row>
    <row r="3487">
      <c r="B3487" s="1" t="inlineStr">
        <is>
          <t>clement</t>
        </is>
      </c>
      <c r="C3487" s="17">
        <f>"adj. （天气）温和的；（人、行为）仁慈的"</f>
        <v/>
      </c>
      <c r="G3487" s="18">
        <f>HYPERLINK("D:\python\英语学习\voices\"&amp;B3487&amp;"_1.mp3","BrE")</f>
        <v/>
      </c>
      <c r="H3487" s="18">
        <f>HYPERLINK("D:\python\英语学习\voices\"&amp;B3487&amp;"_2.mp3","AmE")</f>
        <v/>
      </c>
      <c r="I3487" s="18">
        <f>HYPERLINK("http://dict.youdao.com/w/"&amp;B3487,"有道")</f>
        <v/>
      </c>
    </row>
    <row customHeight="1" ht="28.5" r="3488">
      <c r="B3488" s="1" t="inlineStr">
        <is>
          <t>inclement</t>
        </is>
      </c>
      <c r="C3488" s="17">
        <f>"adj. 天气恶劣的；气候严酷的；狂风暴雨的；潮湿的；寒冷的"</f>
        <v/>
      </c>
      <c r="D3488" s="16" t="inlineStr">
        <is>
          <t>clement温柔的</t>
        </is>
      </c>
      <c r="G3488" s="18">
        <f>HYPERLINK("D:\python\英语学习\voices\"&amp;B3488&amp;"_1.mp3","BrE")</f>
        <v/>
      </c>
      <c r="H3488" s="18">
        <f>HYPERLINK("D:\python\英语学习\voices\"&amp;B3488&amp;"_2.mp3","AmE")</f>
        <v/>
      </c>
      <c r="I3488" s="18">
        <f>HYPERLINK("http://dict.youdao.com/w/"&amp;B3488,"有道")</f>
        <v/>
      </c>
    </row>
    <row customHeight="1" ht="57" r="3489">
      <c r="B3489" s="1" t="inlineStr">
        <is>
          <t>uniform</t>
        </is>
      </c>
      <c r="C3489" s="17">
        <f>"adj. 统一的；一致的；相同的；均衡的；始终如一的"&amp;CHAR(10)&amp;"n. 制服"&amp;CHAR(10)&amp;"vt. 使穿制服；使成一样"</f>
        <v/>
      </c>
      <c r="G3489" s="18">
        <f>HYPERLINK("D:\python\英语学习\voices\"&amp;B3489&amp;"_1.mp3","BrE")</f>
        <v/>
      </c>
      <c r="H3489" s="18">
        <f>HYPERLINK("D:\python\英语学习\voices\"&amp;B3489&amp;"_2.mp3","AmE")</f>
        <v/>
      </c>
      <c r="I3489" s="18">
        <f>HYPERLINK("http://dict.youdao.com/w/"&amp;B3489,"有道")</f>
        <v/>
      </c>
    </row>
    <row customHeight="1" ht="42.75" r="3490">
      <c r="B3490" s="1" t="inlineStr">
        <is>
          <t>overbearing</t>
        </is>
      </c>
      <c r="C3490" s="17">
        <f>"v. 压倒；击败；控制；专横对待（overbear 的现在分词）"&amp;CHAR(10)&amp;"adj. 专横的，傲慢的；压倒一切的"</f>
        <v/>
      </c>
      <c r="D3490" s="16" t="inlineStr">
        <is>
          <t>过度忍受-专横</t>
        </is>
      </c>
      <c r="G3490" s="18">
        <f>HYPERLINK("D:\python\英语学习\voices\"&amp;B3490&amp;"_1.mp3","BrE")</f>
        <v/>
      </c>
      <c r="H3490" s="18">
        <f>HYPERLINK("D:\python\英语学习\voices\"&amp;B3490&amp;"_2.mp3","AmE")</f>
        <v/>
      </c>
      <c r="I3490" s="18">
        <f>HYPERLINK("http://dict.youdao.com/w/"&amp;B3490,"有道")</f>
        <v/>
      </c>
    </row>
    <row customHeight="1" ht="28.5" r="3491">
      <c r="B3491" s="1" t="inlineStr">
        <is>
          <t>incomparable</t>
        </is>
      </c>
      <c r="C3491" s="17">
        <f>"adj. 无比的；无可匹敌的；不能比较的"&amp;CHAR(10)&amp;"n. 盖世无双的人"</f>
        <v/>
      </c>
      <c r="G3491" s="18">
        <f>HYPERLINK("D:\python\英语学习\voices\"&amp;B3491&amp;"_1.mp3","BrE")</f>
        <v/>
      </c>
      <c r="H3491" s="18">
        <f>HYPERLINK("D:\python\英语学习\voices\"&amp;B3491&amp;"_2.mp3","AmE")</f>
        <v/>
      </c>
      <c r="I3491" s="18">
        <f>HYPERLINK("http://dict.youdao.com/w/"&amp;B3491,"有道")</f>
        <v/>
      </c>
    </row>
    <row r="3492">
      <c r="B3492" s="1" t="inlineStr">
        <is>
          <t>dispensable</t>
        </is>
      </c>
      <c r="C3492" s="17">
        <f>"adj. 可有可无的；非必要的"</f>
        <v/>
      </c>
      <c r="G3492" s="18">
        <f>HYPERLINK("D:\python\英语学习\voices\"&amp;B3492&amp;"_1.mp3","BrE")</f>
        <v/>
      </c>
      <c r="H3492" s="18">
        <f>HYPERLINK("D:\python\英语学习\voices\"&amp;B3492&amp;"_2.mp3","AmE")</f>
        <v/>
      </c>
      <c r="I3492" s="18">
        <f>HYPERLINK("http://dict.youdao.com/w/"&amp;B3492,"有道")</f>
        <v/>
      </c>
    </row>
    <row r="3493">
      <c r="B3493" s="1" t="inlineStr">
        <is>
          <t>aspiration</t>
        </is>
      </c>
      <c r="C3493" s="17">
        <f>"n. 渴望；抱负；送气；吸气；吸引术"</f>
        <v/>
      </c>
      <c r="E3493" s="16" t="inlineStr">
        <is>
          <t>Genious is 1 percent inspiration and 99 percent aspiration.</t>
        </is>
      </c>
      <c r="G3493" s="18">
        <f>HYPERLINK("D:\python\英语学习\voices\"&amp;B3493&amp;"_1.mp3","BrE")</f>
        <v/>
      </c>
      <c r="H3493" s="18">
        <f>HYPERLINK("D:\python\英语学习\voices\"&amp;B3493&amp;"_2.mp3","AmE")</f>
        <v/>
      </c>
      <c r="I3493" s="18">
        <f>HYPERLINK("http://dict.youdao.com/w/"&amp;B3493,"有道")</f>
        <v/>
      </c>
    </row>
    <row customHeight="1" ht="57" r="3494">
      <c r="B3494" s="1" t="inlineStr">
        <is>
          <t>content</t>
        </is>
      </c>
      <c r="C3494" s="17">
        <f>"n. 内容，目录；满足；容量"&amp;CHAR(10)&amp;"adj. 满意的"&amp;CHAR(10)&amp;"vt. 使满意"&amp;CHAR(10)&amp;"n. （Content）（法）孔唐（人名）"</f>
        <v/>
      </c>
      <c r="G3494" s="18">
        <f>HYPERLINK("D:\python\英语学习\voices\"&amp;B3494&amp;"_1.mp3","BrE")</f>
        <v/>
      </c>
      <c r="H3494" s="18">
        <f>HYPERLINK("D:\python\英语学习\voices\"&amp;B3494&amp;"_2.mp3","AmE")</f>
        <v/>
      </c>
      <c r="I3494" s="18">
        <f>HYPERLINK("http://dict.youdao.com/w/"&amp;B3494,"有道")</f>
        <v/>
      </c>
    </row>
    <row customHeight="1" ht="28.5" r="3495">
      <c r="A3495" t="inlineStr">
        <is>
          <t>unnecessary</t>
        </is>
      </c>
      <c r="B3495" s="1" t="inlineStr">
        <is>
          <t>principal</t>
        </is>
      </c>
      <c r="C3495" s="17">
        <f>"adj. 主要的；资本的"&amp;CHAR(10)&amp;"n. 首长；校长；资本；当事人"</f>
        <v/>
      </c>
      <c r="E3495" s="16" t="inlineStr">
        <is>
          <t>注意不是principle原则</t>
        </is>
      </c>
      <c r="G3495" s="18">
        <f>HYPERLINK("D:\python\英语学习\voices\"&amp;B3495&amp;"_1.mp3","BrE")</f>
        <v/>
      </c>
      <c r="H3495" s="18">
        <f>HYPERLINK("D:\python\英语学习\voices\"&amp;B3495&amp;"_2.mp3","AmE")</f>
        <v/>
      </c>
      <c r="I3495" s="18">
        <f>HYPERLINK("http://dict.youdao.com/w/"&amp;B3495,"有道")</f>
        <v/>
      </c>
    </row>
    <row r="3496">
      <c r="B3496" s="1" t="inlineStr">
        <is>
          <t>manifestation</t>
        </is>
      </c>
      <c r="C3496" s="17">
        <f>"n. 表现；显示；示威运动"</f>
        <v/>
      </c>
      <c r="G3496" s="18">
        <f>HYPERLINK("D:\python\英语学习\voices\"&amp;B3496&amp;"_1.mp3","BrE")</f>
        <v/>
      </c>
      <c r="H3496" s="18">
        <f>HYPERLINK("D:\python\英语学习\voices\"&amp;B3496&amp;"_2.mp3","AmE")</f>
        <v/>
      </c>
      <c r="I3496" s="18">
        <f>HYPERLINK("http://dict.youdao.com/w/"&amp;B3496,"有道")</f>
        <v/>
      </c>
    </row>
    <row customHeight="1" ht="42.75" r="3497">
      <c r="B3497" s="1" t="inlineStr">
        <is>
          <t>eligible</t>
        </is>
      </c>
      <c r="C3497" s="17">
        <f>"adj. 合格的，合适的；符合条件的；有资格当选的"&amp;CHAR(10)&amp;"n. 合格者；适任者；有资格者"</f>
        <v/>
      </c>
      <c r="E3497" s="16" t="inlineStr">
        <is>
          <t>注意发音-e发e的音不是i</t>
        </is>
      </c>
      <c r="G3497" s="18">
        <f>HYPERLINK("D:\python\英语学习\voices\"&amp;B3497&amp;"_1.mp3","BrE")</f>
        <v/>
      </c>
      <c r="H3497" s="18">
        <f>HYPERLINK("D:\python\英语学习\voices\"&amp;B3497&amp;"_2.mp3","AmE")</f>
        <v/>
      </c>
      <c r="I3497" s="18">
        <f>HYPERLINK("http://dict.youdao.com/w/"&amp;B3497,"有道")</f>
        <v/>
      </c>
    </row>
    <row customHeight="1" ht="28.5" r="3498">
      <c r="B3498" s="1" t="inlineStr">
        <is>
          <t>juvenile</t>
        </is>
      </c>
      <c r="C3498" s="17">
        <f>"adj. 青少年的；幼稚的"&amp;CHAR(10)&amp;"n. 青少年；少年读物"</f>
        <v/>
      </c>
      <c r="G3498" s="18">
        <f>HYPERLINK("D:\python\英语学习\voices\"&amp;B3498&amp;"_1.mp3","BrE")</f>
        <v/>
      </c>
      <c r="H3498" s="18">
        <f>HYPERLINK("D:\python\英语学习\voices\"&amp;B3498&amp;"_2.mp3","AmE")</f>
        <v/>
      </c>
      <c r="I3498" s="18">
        <f>HYPERLINK("http://dict.youdao.com/w/"&amp;B3498,"有道")</f>
        <v/>
      </c>
    </row>
    <row r="3499">
      <c r="A3499" s="1" t="inlineStr">
        <is>
          <t>unnecessary</t>
        </is>
      </c>
      <c r="B3499" s="1" t="inlineStr">
        <is>
          <t>acentric</t>
        </is>
      </c>
      <c r="C3499" s="17">
        <f>"adj. 离心的；无中心的；[遗] 无着丝粒的"</f>
        <v/>
      </c>
      <c r="G3499" s="18">
        <f>HYPERLINK("D:\python\英语学习\voices\"&amp;B3499&amp;"_1.mp3","BrE")</f>
        <v/>
      </c>
      <c r="H3499" s="18">
        <f>HYPERLINK("D:\python\英语学习\voices\"&amp;B3499&amp;"_2.mp3","AmE")</f>
        <v/>
      </c>
      <c r="I3499" s="18">
        <f>HYPERLINK("http://dict.youdao.com/w/"&amp;B3499,"有道")</f>
        <v/>
      </c>
    </row>
    <row r="3500">
      <c r="B3500" s="1" t="inlineStr">
        <is>
          <t>overstate</t>
        </is>
      </c>
      <c r="C3500" s="17">
        <f>"vt. 夸张；夸大的叙述"</f>
        <v/>
      </c>
      <c r="E3500" s="16" t="inlineStr">
        <is>
          <t>exaggerate夸大</t>
        </is>
      </c>
      <c r="G3500" s="18">
        <f>HYPERLINK("D:\python\英语学习\voices\"&amp;B3500&amp;"_1.mp3","BrE")</f>
        <v/>
      </c>
      <c r="H3500" s="18">
        <f>HYPERLINK("D:\python\英语学习\voices\"&amp;B3500&amp;"_2.mp3","AmE")</f>
        <v/>
      </c>
      <c r="I3500" s="18">
        <f>HYPERLINK("http://dict.youdao.com/w/"&amp;B3500,"有道")</f>
        <v/>
      </c>
    </row>
    <row r="3501">
      <c r="B3501" s="1" t="inlineStr">
        <is>
          <t>anachronistic</t>
        </is>
      </c>
      <c r="C3501" s="17">
        <f>"adj. 时代错误的"</f>
        <v/>
      </c>
      <c r="G3501" s="18">
        <f>HYPERLINK("D:\python\英语学习\voices\"&amp;B3501&amp;"_1.mp3","BrE")</f>
        <v/>
      </c>
      <c r="H3501" s="18">
        <f>HYPERLINK("D:\python\英语学习\voices\"&amp;B3501&amp;"_2.mp3","AmE")</f>
        <v/>
      </c>
      <c r="I3501" s="18">
        <f>HYPERLINK("http://dict.youdao.com/w/"&amp;B3501,"有道")</f>
        <v/>
      </c>
    </row>
    <row customHeight="1" ht="42.75" r="3502">
      <c r="B3502" s="1" t="inlineStr">
        <is>
          <t>beguiling</t>
        </is>
      </c>
      <c r="C3502" s="17">
        <f>"adj. 欺骗的；消遣的；令人陶醉的"&amp;CHAR(10)&amp;"v. 欺骗；使愉快地度过；迷住（beguile的ing形式）"</f>
        <v/>
      </c>
      <c r="D3502" s="16" t="inlineStr">
        <is>
          <t>disguise掩饰</t>
        </is>
      </c>
      <c r="G3502" s="18">
        <f>HYPERLINK("D:\python\英语学习\voices\"&amp;B3502&amp;"_1.mp3","BrE")</f>
        <v/>
      </c>
      <c r="H3502" s="18">
        <f>HYPERLINK("D:\python\英语学习\voices\"&amp;B3502&amp;"_2.mp3","AmE")</f>
        <v/>
      </c>
      <c r="I3502" s="18">
        <f>HYPERLINK("http://dict.youdao.com/w/"&amp;B3502,"有道")</f>
        <v/>
      </c>
    </row>
    <row r="3503">
      <c r="B3503" s="1" t="inlineStr">
        <is>
          <t>impel</t>
        </is>
      </c>
      <c r="C3503" s="17">
        <f>"vt. 推动；驱使；激励"</f>
        <v/>
      </c>
      <c r="G3503" s="18">
        <f>HYPERLINK("D:\python\英语学习\voices\"&amp;B3503&amp;"_1.mp3","BrE")</f>
        <v/>
      </c>
      <c r="H3503" s="18">
        <f>HYPERLINK("D:\python\英语学习\voices\"&amp;B3503&amp;"_2.mp3","AmE")</f>
        <v/>
      </c>
      <c r="I3503" s="18">
        <f>HYPERLINK("http://dict.youdao.com/w/"&amp;B3503,"有道")</f>
        <v/>
      </c>
    </row>
    <row customHeight="1" ht="28.5" r="3504">
      <c r="B3504" s="1" t="inlineStr">
        <is>
          <t>impelling</t>
        </is>
      </c>
      <c r="C3504" s="17">
        <f>"v. 驱使；推进（impel 的现在分词）"&amp;CHAR(10)&amp;"adj. 强有力的"</f>
        <v/>
      </c>
      <c r="G3504" s="18">
        <f>HYPERLINK("D:\python\英语学习\voices\"&amp;B3504&amp;"_1.mp3","BrE")</f>
        <v/>
      </c>
      <c r="H3504" s="18">
        <f>HYPERLINK("D:\python\英语学习\voices\"&amp;B3504&amp;"_2.mp3","AmE")</f>
        <v/>
      </c>
      <c r="I3504" s="18">
        <f>HYPERLINK("http://dict.youdao.com/w/"&amp;B3504,"有道")</f>
        <v/>
      </c>
    </row>
    <row r="3505">
      <c r="B3505" s="1" t="inlineStr">
        <is>
          <t>dispel</t>
        </is>
      </c>
      <c r="C3505" s="17">
        <f>"vt. 驱散，驱逐；消除（烦恼等）"</f>
        <v/>
      </c>
      <c r="G3505" s="18">
        <f>HYPERLINK("D:\python\英语学习\voices\"&amp;B3505&amp;"_1.mp3","BrE")</f>
        <v/>
      </c>
      <c r="H3505" s="18">
        <f>HYPERLINK("D:\python\英语学习\voices\"&amp;B3505&amp;"_2.mp3","AmE")</f>
        <v/>
      </c>
      <c r="I3505" s="18">
        <f>HYPERLINK("http://dict.youdao.com/w/"&amp;B3505,"有道")</f>
        <v/>
      </c>
    </row>
    <row r="3506">
      <c r="B3506" s="1" t="inlineStr">
        <is>
          <t>beguile</t>
        </is>
      </c>
      <c r="C3506" s="17">
        <f>"vt. 欺骗；使着迷；轻松地消磨"</f>
        <v/>
      </c>
      <c r="G3506" s="18">
        <f>HYPERLINK("D:\python\英语学习\voices\"&amp;B3506&amp;"_1.mp3","BrE")</f>
        <v/>
      </c>
      <c r="H3506" s="18">
        <f>HYPERLINK("D:\python\英语学习\voices\"&amp;B3506&amp;"_2.mp3","AmE")</f>
        <v/>
      </c>
      <c r="I3506" s="18">
        <f>HYPERLINK("http://dict.youdao.com/w/"&amp;B3506,"有道")</f>
        <v/>
      </c>
    </row>
    <row r="3507">
      <c r="B3507" s="1" t="inlineStr">
        <is>
          <t>enfeeble</t>
        </is>
      </c>
      <c r="C3507" s="17">
        <f>"vt. 使衰弱；使无力"</f>
        <v/>
      </c>
      <c r="G3507" s="18">
        <f>HYPERLINK("D:\python\英语学习\voices\"&amp;B3507&amp;"_1.mp3","BrE")</f>
        <v/>
      </c>
      <c r="H3507" s="18">
        <f>HYPERLINK("D:\python\英语学习\voices\"&amp;B3507&amp;"_2.mp3","AmE")</f>
        <v/>
      </c>
      <c r="I3507" s="18">
        <f>HYPERLINK("http://dict.youdao.com/w/"&amp;B3507,"有道")</f>
        <v/>
      </c>
    </row>
    <row r="3508">
      <c r="B3508" s="1" t="inlineStr">
        <is>
          <t>misinterpret</t>
        </is>
      </c>
      <c r="C3508" s="17">
        <f>"vt. 曲解，误解"</f>
        <v/>
      </c>
      <c r="G3508" s="18">
        <f>HYPERLINK("D:\python\英语学习\voices\"&amp;B3508&amp;"_1.mp3","BrE")</f>
        <v/>
      </c>
      <c r="H3508" s="18">
        <f>HYPERLINK("D:\python\英语学习\voices\"&amp;B3508&amp;"_2.mp3","AmE")</f>
        <v/>
      </c>
      <c r="I3508" s="18">
        <f>HYPERLINK("http://dict.youdao.com/w/"&amp;B3508,"有道")</f>
        <v/>
      </c>
    </row>
    <row r="3509">
      <c r="B3509" s="1" t="inlineStr">
        <is>
          <t>recurrent</t>
        </is>
      </c>
      <c r="C3509" s="17">
        <f>"adj. 复发的；周期性的，经常发生的"</f>
        <v/>
      </c>
      <c r="G3509" s="18">
        <f>HYPERLINK("D:\python\英语学习\voices\"&amp;B3509&amp;"_1.mp3","BrE")</f>
        <v/>
      </c>
      <c r="H3509" s="18">
        <f>HYPERLINK("D:\python\英语学习\voices\"&amp;B3509&amp;"_2.mp3","AmE")</f>
        <v/>
      </c>
      <c r="I3509" s="18">
        <f>HYPERLINK("http://dict.youdao.com/w/"&amp;B3509,"有道")</f>
        <v/>
      </c>
    </row>
    <row customHeight="1" ht="28.5" r="3510">
      <c r="B3510" s="1" t="inlineStr">
        <is>
          <t>pedestrian</t>
        </is>
      </c>
      <c r="C3510" s="17">
        <f>"adj. 徒步的；缺乏想像力的"&amp;CHAR(10)&amp;"n. 行人；步行者"</f>
        <v/>
      </c>
      <c r="E3510" s="6" t="inlineStr">
        <is>
          <t>注意拼写</t>
        </is>
      </c>
      <c r="G3510" s="18">
        <f>HYPERLINK("D:\python\英语学习\voices\"&amp;B3510&amp;"_1.mp3","BrE")</f>
        <v/>
      </c>
      <c r="H3510" s="18">
        <f>HYPERLINK("D:\python\英语学习\voices\"&amp;B3510&amp;"_2.mp3","AmE")</f>
        <v/>
      </c>
      <c r="I3510" s="18">
        <f>HYPERLINK("http://dict.youdao.com/w/"&amp;B3510,"有道")</f>
        <v/>
      </c>
    </row>
    <row customHeight="1" ht="28.5" r="3511">
      <c r="B3511" s="1" t="inlineStr">
        <is>
          <t>intensive</t>
        </is>
      </c>
      <c r="C3511" s="17">
        <f>"adj. 加强的；集中的；透彻的；加强语气的"&amp;CHAR(10)&amp;"n. 加强器"</f>
        <v/>
      </c>
      <c r="G3511" s="18">
        <f>HYPERLINK("D:\python\英语学习\voices\"&amp;B3511&amp;"_1.mp3","BrE")</f>
        <v/>
      </c>
      <c r="H3511" s="18">
        <f>HYPERLINK("D:\python\英语学习\voices\"&amp;B3511&amp;"_2.mp3","AmE")</f>
        <v/>
      </c>
      <c r="I3511" s="18">
        <f>HYPERLINK("http://dict.youdao.com/w/"&amp;B3511,"有道")</f>
        <v/>
      </c>
    </row>
    <row customHeight="1" ht="28.5" r="3512">
      <c r="B3512" s="1" t="inlineStr">
        <is>
          <t>remedy</t>
        </is>
      </c>
      <c r="C3512" s="17">
        <f>"n. 补救；疗法；解决办法；（硬币的）公差"&amp;CHAR(10)&amp;"v. 补救，纠正，改进；治疗"</f>
        <v/>
      </c>
      <c r="G3512" s="18">
        <f>HYPERLINK("D:\python\英语学习\voices\"&amp;B3512&amp;"_1.mp3","BrE")</f>
        <v/>
      </c>
      <c r="H3512" s="18">
        <f>HYPERLINK("D:\python\英语学习\voices\"&amp;B3512&amp;"_2.mp3","AmE")</f>
        <v/>
      </c>
      <c r="I3512" s="18">
        <f>HYPERLINK("http://dict.youdao.com/w/"&amp;B3512,"有道")</f>
        <v/>
      </c>
    </row>
    <row r="3513">
      <c r="B3513" s="1" t="inlineStr">
        <is>
          <t>clemency</t>
        </is>
      </c>
      <c r="C3513" s="17">
        <f>"n. 仁慈；温和；宽厚"</f>
        <v/>
      </c>
      <c r="G3513" s="18">
        <f>HYPERLINK("D:\python\英语学习\voices\"&amp;B3513&amp;"_1.mp3","BrE")</f>
        <v/>
      </c>
      <c r="H3513" s="18">
        <f>HYPERLINK("D:\python\英语学习\voices\"&amp;B3513&amp;"_2.mp3","AmE")</f>
        <v/>
      </c>
      <c r="I3513" s="18">
        <f>HYPERLINK("http://dict.youdao.com/w/"&amp;B3513,"有道")</f>
        <v/>
      </c>
    </row>
    <row customHeight="1" ht="57" r="3514">
      <c r="B3514" s="1" t="inlineStr">
        <is>
          <t>shear</t>
        </is>
      </c>
      <c r="C3514" s="17">
        <f>"v. 剪（羊或其他动物的）毛；剪（头发）；（受剪切力作用而）断裂"&amp;CHAR(10)&amp;"n. 切变"&amp;CHAR(10)&amp;"n. (Shear) （美）希尔（人名）"</f>
        <v/>
      </c>
      <c r="G3514" s="18">
        <f>HYPERLINK("D:\python\英语学习\voices\"&amp;B3514&amp;"_1.mp3","BrE")</f>
        <v/>
      </c>
      <c r="H3514" s="18">
        <f>HYPERLINK("D:\python\英语学习\voices\"&amp;B3514&amp;"_2.mp3","AmE")</f>
        <v/>
      </c>
      <c r="I3514" s="18">
        <f>HYPERLINK("http://dict.youdao.com/w/"&amp;B3514,"有道")</f>
        <v/>
      </c>
    </row>
    <row customHeight="1" ht="28.5" r="3515">
      <c r="A3515" s="1" t="inlineStr">
        <is>
          <t>practice</t>
        </is>
      </c>
      <c r="B3515" s="1" t="inlineStr">
        <is>
          <t>antithetical</t>
        </is>
      </c>
      <c r="C3515" s="7">
        <f>"adj. 对立的，正相反的"</f>
        <v/>
      </c>
      <c r="G3515" s="18">
        <f>HYPERLINK("D:\python\英语学习\voices\"&amp;B3515&amp;"_1.mp3","BrE")</f>
        <v/>
      </c>
      <c r="H3515" s="18">
        <f>HYPERLINK("D:\python\英语学习\voices\"&amp;B3515&amp;"_2.mp3","AmE")</f>
        <v/>
      </c>
      <c r="I3515" s="18">
        <f>HYPERLINK("http://dict.youdao.com/w/"&amp;B3515,"有道")</f>
        <v/>
      </c>
    </row>
    <row r="3516">
      <c r="B3516" s="1" t="inlineStr">
        <is>
          <t>subjectivity</t>
        </is>
      </c>
      <c r="C3516" s="17">
        <f>"n. 主观性，主观"</f>
        <v/>
      </c>
      <c r="G3516" s="18">
        <f>HYPERLINK("D:\python\英语学习\voices\"&amp;B3516&amp;"_1.mp3","BrE")</f>
        <v/>
      </c>
      <c r="H3516" s="18">
        <f>HYPERLINK("D:\python\英语学习\voices\"&amp;B3516&amp;"_2.mp3","AmE")</f>
        <v/>
      </c>
      <c r="I3516" s="18">
        <f>HYPERLINK("http://dict.youdao.com/w/"&amp;B3516,"有道")</f>
        <v/>
      </c>
    </row>
    <row customHeight="1" ht="99.75" r="3517">
      <c r="B3517" s="1" t="inlineStr">
        <is>
          <t>subject</t>
        </is>
      </c>
      <c r="C3517" s="17">
        <f>"n. 主题；起因；科目；主词；（绘画、摄影等的）题材；实验对象；主语；国民；主旋律；主体；中心实体"&amp;CHAR(10)&amp;"adj. 易遭受……的；有待于……的；受……支配的；受异族统治的；臣服的"&amp;CHAR(10)&amp;"adv. 在……的条件下"&amp;CHAR(10)&amp;"v. （使）臣服"</f>
        <v/>
      </c>
      <c r="E3517" s="16" t="inlineStr">
        <is>
          <t>好多意思
subject to 使服从，使遭受，受...管制</t>
        </is>
      </c>
      <c r="G3517" s="18">
        <f>HYPERLINK("D:\python\英语学习\voices\"&amp;B3517&amp;"_1.mp3","BrE")</f>
        <v/>
      </c>
      <c r="H3517" s="18">
        <f>HYPERLINK("D:\python\英语学习\voices\"&amp;B3517&amp;"_2.mp3","AmE")</f>
        <v/>
      </c>
      <c r="I3517" s="18">
        <f>HYPERLINK("http://dict.youdao.com/w/"&amp;B3517,"有道")</f>
        <v/>
      </c>
    </row>
    <row r="3518">
      <c r="B3518" s="1" t="inlineStr">
        <is>
          <t>reticent</t>
        </is>
      </c>
      <c r="C3518" s="17">
        <f>"adj. 沉默的；有保留的；谨慎的"</f>
        <v/>
      </c>
      <c r="G3518" s="18">
        <f>HYPERLINK("D:\python\英语学习\voices\"&amp;B3518&amp;"_1.mp3","BrE")</f>
        <v/>
      </c>
      <c r="H3518" s="18">
        <f>HYPERLINK("D:\python\英语学习\voices\"&amp;B3518&amp;"_2.mp3","AmE")</f>
        <v/>
      </c>
      <c r="I3518" s="18">
        <f>HYPERLINK("http://dict.youdao.com/w/"&amp;B3518,"有道")</f>
        <v/>
      </c>
    </row>
    <row r="3519">
      <c r="B3519" s="1" t="inlineStr">
        <is>
          <t>taciturnity</t>
        </is>
      </c>
      <c r="C3519" s="17">
        <f>"n. 沉默寡言；缄默"</f>
        <v/>
      </c>
      <c r="E3519" s="16" t="inlineStr">
        <is>
          <t>as dumb as an oyster沉默寡言</t>
        </is>
      </c>
      <c r="G3519" s="18">
        <f>HYPERLINK("D:\python\英语学习\voices\"&amp;B3519&amp;"_1.mp3","BrE")</f>
        <v/>
      </c>
      <c r="H3519" s="18">
        <f>HYPERLINK("D:\python\英语学习\voices\"&amp;B3519&amp;"_2.mp3","AmE")</f>
        <v/>
      </c>
      <c r="I3519" s="18">
        <f>HYPERLINK("http://dict.youdao.com/w/"&amp;B3519,"有道")</f>
        <v/>
      </c>
    </row>
    <row r="3520">
      <c r="B3520" s="1" t="inlineStr">
        <is>
          <t>ineloquent</t>
        </is>
      </c>
      <c r="C3520" s="17">
        <f>"adj. 不雄辩的；不善言辞的"</f>
        <v/>
      </c>
      <c r="E3520" s="16" t="inlineStr">
        <is>
          <t>不善言辞 a poor speaker</t>
        </is>
      </c>
      <c r="G3520" s="18">
        <f>HYPERLINK("D:\python\英语学习\voices\"&amp;B3520&amp;"_1.mp3","BrE")</f>
        <v/>
      </c>
      <c r="H3520" s="18">
        <f>HYPERLINK("D:\python\英语学习\voices\"&amp;B3520&amp;"_2.mp3","AmE")</f>
        <v/>
      </c>
      <c r="I3520" s="18">
        <f>HYPERLINK("http://dict.youdao.com/w/"&amp;B3520,"有道")</f>
        <v/>
      </c>
    </row>
    <row customHeight="1" ht="28.5" r="3521">
      <c r="B3521" s="1" t="inlineStr">
        <is>
          <t>susceptible</t>
        </is>
      </c>
      <c r="C3521" s="17">
        <f>"adj. 易受影响的；易感动的；容许……的"&amp;CHAR(10)&amp;"n. 易得病的人"</f>
        <v/>
      </c>
      <c r="D3521" s="6" t="inlineStr">
        <is>
          <t>是ible</t>
        </is>
      </c>
      <c r="E3521" s="16" t="inlineStr">
        <is>
          <t>be susceptible to易受..影响
be susceptible of容许..的，可能..的</t>
        </is>
      </c>
      <c r="G3521" s="18">
        <f>HYPERLINK("D:\python\英语学习\voices\"&amp;B3521&amp;"_1.mp3","BrE")</f>
        <v/>
      </c>
      <c r="H3521" s="18">
        <f>HYPERLINK("D:\python\英语学习\voices\"&amp;B3521&amp;"_2.mp3","AmE")</f>
        <v/>
      </c>
      <c r="I3521" s="18">
        <f>HYPERLINK("http://dict.youdao.com/w/"&amp;B3521,"有道")</f>
        <v/>
      </c>
    </row>
    <row r="3522">
      <c r="B3522" s="1" t="inlineStr">
        <is>
          <t>punishment</t>
        </is>
      </c>
      <c r="C3522" s="17">
        <f>"n. 惩罚；严厉对待，虐待"</f>
        <v/>
      </c>
      <c r="G3522" s="18">
        <f>HYPERLINK("D:\python\英语学习\voices\"&amp;B3522&amp;"_1.mp3","BrE")</f>
        <v/>
      </c>
      <c r="H3522" s="18">
        <f>HYPERLINK("D:\python\英语学习\voices\"&amp;B3522&amp;"_2.mp3","AmE")</f>
        <v/>
      </c>
      <c r="I3522" s="18">
        <f>HYPERLINK("http://dict.youdao.com/w/"&amp;B3522,"有道")</f>
        <v/>
      </c>
    </row>
    <row customHeight="1" ht="43.5" r="3523">
      <c r="B3523" s="1" t="inlineStr">
        <is>
          <t>concentrate</t>
        </is>
      </c>
      <c r="C3523" s="17">
        <f>"vi. 集中；浓缩；全神贯注；聚集"&amp;CHAR(10)&amp;"vt. 集中；浓缩"&amp;CHAR(10)&amp;"n. 浓缩，精选；浓缩液"</f>
        <v/>
      </c>
      <c r="E3523" s="6" t="inlineStr">
        <is>
          <t>注意拼写cent</t>
        </is>
      </c>
      <c r="G3523" s="18">
        <f>HYPERLINK("D:\python\英语学习\voices\"&amp;B3523&amp;"_1.mp3","BrE")</f>
        <v/>
      </c>
      <c r="H3523" s="18">
        <f>HYPERLINK("D:\python\英语学习\voices\"&amp;B3523&amp;"_2.mp3","AmE")</f>
        <v/>
      </c>
      <c r="I3523" s="18">
        <f>HYPERLINK("http://dict.youdao.com/w/"&amp;B3523,"有道")</f>
        <v/>
      </c>
    </row>
    <row r="3524">
      <c r="B3524" s="1" t="inlineStr">
        <is>
          <t>timorous</t>
        </is>
      </c>
      <c r="C3524" s="17">
        <f>"adj. 胆怯的；胆小的；羞怯的"</f>
        <v/>
      </c>
      <c r="E3524" s="16" t="inlineStr">
        <is>
          <t>正式 胆小的</t>
        </is>
      </c>
      <c r="G3524" s="18">
        <f>HYPERLINK("D:\python\英语学习\voices\"&amp;B3524&amp;"_1.mp3","BrE")</f>
        <v/>
      </c>
      <c r="H3524" s="18">
        <f>HYPERLINK("D:\python\英语学习\voices\"&amp;B3524&amp;"_2.mp3","AmE")</f>
        <v/>
      </c>
      <c r="I3524" s="18">
        <f>HYPERLINK("http://dict.youdao.com/w/"&amp;B3524,"有道")</f>
        <v/>
      </c>
    </row>
    <row r="3525">
      <c r="B3525" s="1" t="inlineStr">
        <is>
          <t>protract</t>
        </is>
      </c>
      <c r="C3525" s="17">
        <f>"v. 延长；绘制；伸展（身体部位）"</f>
        <v/>
      </c>
      <c r="G3525" s="18">
        <f>HYPERLINK("D:\python\英语学习\voices\"&amp;B3525&amp;"_1.mp3","BrE")</f>
        <v/>
      </c>
      <c r="H3525" s="18">
        <f>HYPERLINK("D:\python\英语学习\voices\"&amp;B3525&amp;"_2.mp3","AmE")</f>
        <v/>
      </c>
      <c r="I3525" s="18">
        <f>HYPERLINK("http://dict.youdao.com/w/"&amp;B3525,"有道")</f>
        <v/>
      </c>
    </row>
    <row customHeight="1" ht="28.5" r="3526">
      <c r="B3526" s="1" t="inlineStr">
        <is>
          <t>protracted</t>
        </is>
      </c>
      <c r="C3526" s="17">
        <f>"adj. 拖延的"&amp;CHAR(10)&amp;"v. 拖延；绘制；伸展（protract的过去分词）"</f>
        <v/>
      </c>
      <c r="G3526" s="18">
        <f>HYPERLINK("D:\python\英语学习\voices\"&amp;B3526&amp;"_1.mp3","BrE")</f>
        <v/>
      </c>
      <c r="H3526" s="18">
        <f>HYPERLINK("D:\python\英语学习\voices\"&amp;B3526&amp;"_2.mp3","AmE")</f>
        <v/>
      </c>
      <c r="I3526" s="18">
        <f>HYPERLINK("http://dict.youdao.com/w/"&amp;B3526,"有道")</f>
        <v/>
      </c>
    </row>
    <row customHeight="1" ht="28.5" r="3527">
      <c r="A3527" t="inlineStr">
        <is>
          <t>unnecessary</t>
        </is>
      </c>
      <c r="B3527" s="1" t="inlineStr">
        <is>
          <t>hodgepodge</t>
        </is>
      </c>
      <c r="C3527" s="17">
        <f>"n. 大杂烩；混煮；一团糟"&amp;CHAR(10)&amp;"vt. 使混乱"</f>
        <v/>
      </c>
      <c r="E3527" s="16" t="inlineStr">
        <is>
          <t>同hotch-potch jumble</t>
        </is>
      </c>
      <c r="G3527" s="18">
        <f>HYPERLINK("D:\python\英语学习\voices\"&amp;B3527&amp;"_1.mp3","BrE")</f>
        <v/>
      </c>
      <c r="H3527" s="18">
        <f>HYPERLINK("D:\python\英语学习\voices\"&amp;B3527&amp;"_2.mp3","AmE")</f>
        <v/>
      </c>
      <c r="I3527" s="18">
        <f>HYPERLINK("http://dict.youdao.com/w/"&amp;B3527,"有道")</f>
        <v/>
      </c>
    </row>
    <row r="3528">
      <c r="B3528" s="1" t="inlineStr">
        <is>
          <t>intangible</t>
        </is>
      </c>
      <c r="C3528" s="17">
        <f>"adj. 无形的，触摸不到的；难以理解的"</f>
        <v/>
      </c>
      <c r="G3528" s="18">
        <f>HYPERLINK("D:\python\英语学习\voices\"&amp;B3528&amp;"_1.mp3","BrE")</f>
        <v/>
      </c>
      <c r="H3528" s="18">
        <f>HYPERLINK("D:\python\英语学习\voices\"&amp;B3528&amp;"_2.mp3","AmE")</f>
        <v/>
      </c>
      <c r="I3528" s="18">
        <f>HYPERLINK("http://dict.youdao.com/w/"&amp;B3528,"有道")</f>
        <v/>
      </c>
    </row>
    <row r="3529">
      <c r="B3529" s="1" t="inlineStr">
        <is>
          <t>coordination</t>
        </is>
      </c>
      <c r="C3529" s="17">
        <f>"n. 协调，调和；对等，同等"</f>
        <v/>
      </c>
      <c r="G3529" s="18">
        <f>HYPERLINK("D:\python\英语学习\voices\"&amp;B3529&amp;"_1.mp3","BrE")</f>
        <v/>
      </c>
      <c r="H3529" s="18">
        <f>HYPERLINK("D:\python\英语学习\voices\"&amp;B3529&amp;"_2.mp3","AmE")</f>
        <v/>
      </c>
      <c r="I3529" s="18">
        <f>HYPERLINK("http://dict.youdao.com/w/"&amp;B3529,"有道")</f>
        <v/>
      </c>
    </row>
    <row r="3530">
      <c r="B3530" s="1" t="inlineStr">
        <is>
          <t>disinclination</t>
        </is>
      </c>
      <c r="C3530" s="17">
        <f>"n. 不感兴趣；厌恶；不起劲"</f>
        <v/>
      </c>
      <c r="G3530" s="18">
        <f>HYPERLINK("D:\python\英语学习\voices\"&amp;B3530&amp;"_1.mp3","BrE")</f>
        <v/>
      </c>
      <c r="H3530" s="18">
        <f>HYPERLINK("D:\python\英语学习\voices\"&amp;B3530&amp;"_2.mp3","AmE")</f>
        <v/>
      </c>
      <c r="I3530" s="18">
        <f>HYPERLINK("http://dict.youdao.com/w/"&amp;B3530,"有道")</f>
        <v/>
      </c>
    </row>
    <row r="3531">
      <c r="B3531" s="1" t="inlineStr">
        <is>
          <t>disincline</t>
        </is>
      </c>
      <c r="C3531" s="17">
        <f>"v. 使不愿，使不欲；不感兴趣"</f>
        <v/>
      </c>
      <c r="G3531" s="18">
        <f>HYPERLINK("D:\python\英语学习\voices\"&amp;B3531&amp;"_1.mp3","BrE")</f>
        <v/>
      </c>
      <c r="H3531" s="18">
        <f>HYPERLINK("D:\python\英语学习\voices\"&amp;B3531&amp;"_2.mp3","AmE")</f>
        <v/>
      </c>
      <c r="I3531" s="18">
        <f>HYPERLINK("http://dict.youdao.com/w/"&amp;B3531,"有道")</f>
        <v/>
      </c>
    </row>
    <row r="3532">
      <c r="B3532" s="1" t="inlineStr">
        <is>
          <t>demarcation</t>
        </is>
      </c>
      <c r="C3532" s="17">
        <f>"n. 划分；划界；限界"</f>
        <v/>
      </c>
      <c r="G3532" s="18">
        <f>HYPERLINK("D:\python\英语学习\voices\"&amp;B3532&amp;"_1.mp3","BrE")</f>
        <v/>
      </c>
      <c r="H3532" s="18">
        <f>HYPERLINK("D:\python\英语学习\voices\"&amp;B3532&amp;"_2.mp3","AmE")</f>
        <v/>
      </c>
      <c r="I3532" s="18">
        <f>HYPERLINK("http://dict.youdao.com/w/"&amp;B3532,"有道")</f>
        <v/>
      </c>
    </row>
    <row customHeight="1" ht="28.5" r="3533">
      <c r="B3533" s="1" t="inlineStr">
        <is>
          <t>forestall</t>
        </is>
      </c>
      <c r="C3533" s="17">
        <f>"vt. 先发制人，预先阻止；垄断，屯积；领先；占先一步"</f>
        <v/>
      </c>
      <c r="E3533" s="16" t="inlineStr">
        <is>
          <t>先发制人</t>
        </is>
      </c>
      <c r="G3533" s="18">
        <f>HYPERLINK("D:\python\英语学习\voices\"&amp;B3533&amp;"_1.mp3","BrE")</f>
        <v/>
      </c>
      <c r="H3533" s="18">
        <f>HYPERLINK("D:\python\英语学习\voices\"&amp;B3533&amp;"_2.mp3","AmE")</f>
        <v/>
      </c>
      <c r="I3533" s="18">
        <f>HYPERLINK("http://dict.youdao.com/w/"&amp;B3533,"有道")</f>
        <v/>
      </c>
    </row>
    <row customHeight="1" ht="43.5" r="3534">
      <c r="B3534" s="1" t="inlineStr">
        <is>
          <t>realism</t>
        </is>
      </c>
      <c r="C3534" s="17">
        <f>"n. 现实主义；实在论；现实主义的态度和行为"</f>
        <v/>
      </c>
      <c r="E3534" s="16" t="inlineStr">
        <is>
          <t>注意发音-重音在前,real</t>
        </is>
      </c>
      <c r="G3534" s="18">
        <f>HYPERLINK("D:\python\英语学习\voices\"&amp;B3534&amp;"_1.mp3","BrE")</f>
        <v/>
      </c>
      <c r="H3534" s="18">
        <f>HYPERLINK("D:\python\英语学习\voices\"&amp;B3534&amp;"_2.mp3","AmE")</f>
        <v/>
      </c>
      <c r="I3534" s="18">
        <f>HYPERLINK("http://dict.youdao.com/w/"&amp;B3534,"有道")</f>
        <v/>
      </c>
    </row>
    <row r="3535">
      <c r="B3535" s="1" t="inlineStr">
        <is>
          <t>inimical</t>
        </is>
      </c>
      <c r="C3535" s="17">
        <f>"adj. 敌意的；有害的"</f>
        <v/>
      </c>
      <c r="D3535" s="6" t="inlineStr">
        <is>
          <t>enemy</t>
        </is>
      </c>
      <c r="G3535" s="18">
        <f>HYPERLINK("D:\python\英语学习\voices\"&amp;B3535&amp;"_1.mp3","BrE")</f>
        <v/>
      </c>
      <c r="H3535" s="18">
        <f>HYPERLINK("D:\python\英语学习\voices\"&amp;B3535&amp;"_2.mp3","AmE")</f>
        <v/>
      </c>
      <c r="I3535" s="18">
        <f>HYPERLINK("http://dict.youdao.com/w/"&amp;B3535,"有道")</f>
        <v/>
      </c>
    </row>
    <row customHeight="1" ht="71.25" r="3536">
      <c r="B3536" s="1" t="inlineStr">
        <is>
          <t>toss</t>
        </is>
      </c>
      <c r="C3536" s="17">
        <f>"v. 抛，投；甩（头）；颠簸；摇匀；把（煎饼）颠起翻面；掷硬币决定；（马）摔下（骑手）；（非正式）搜（某地）"&amp;CHAR(10)&amp;"n. 掷硬币决定；猛仰头（表恼怒）；投掷"&amp;CHAR(10)&amp;"n. (Toss) （美）托斯（人名）"</f>
        <v/>
      </c>
      <c r="E3536" s="16" t="inlineStr">
        <is>
          <t>抛</t>
        </is>
      </c>
      <c r="G3536" s="18">
        <f>HYPERLINK("D:\python\英语学习\voices\"&amp;B3536&amp;"_1.mp3","BrE")</f>
        <v/>
      </c>
      <c r="H3536" s="18">
        <f>HYPERLINK("D:\python\英语学习\voices\"&amp;B3536&amp;"_2.mp3","AmE")</f>
        <v/>
      </c>
      <c r="I3536" s="18">
        <f>HYPERLINK("http://dict.youdao.com/w/"&amp;B3536,"有道")</f>
        <v/>
      </c>
    </row>
    <row r="3537">
      <c r="B3537" s="1" t="inlineStr">
        <is>
          <t>profligacy</t>
        </is>
      </c>
      <c r="C3537" s="17">
        <f>"n. 肆意挥霍；放荡；浪费"</f>
        <v/>
      </c>
      <c r="G3537" s="18">
        <f>HYPERLINK("D:\python\英语学习\voices\"&amp;B3537&amp;"_1.mp3","BrE")</f>
        <v/>
      </c>
      <c r="H3537" s="18">
        <f>HYPERLINK("D:\python\英语学习\voices\"&amp;B3537&amp;"_2.mp3","AmE")</f>
        <v/>
      </c>
      <c r="I3537" s="18">
        <f>HYPERLINK("http://dict.youdao.com/w/"&amp;B3537,"有道")</f>
        <v/>
      </c>
    </row>
    <row customHeight="1" ht="28.5" r="3538">
      <c r="A3538" s="1" t="inlineStr">
        <is>
          <t>practice</t>
        </is>
      </c>
      <c r="B3538" s="1" t="inlineStr">
        <is>
          <t>gorge</t>
        </is>
      </c>
      <c r="C3538" s="7">
        <f>"n. 峡谷；胃；暴食；咽喉；障碍物"&amp;CHAR(10)&amp;"vt. 使吃饱；吞下；使扩张"&amp;CHAR(10)&amp;"vi. 拚命吃；狼吞虎咽"&amp;CHAR(10)&amp;"n. (Gorge)人名；(西)戈赫；(法)戈尔热"</f>
        <v/>
      </c>
      <c r="G3538" s="18">
        <f>HYPERLINK("D:\python\英语学习\voices\"&amp;B3538&amp;"_1.mp3","BrE")</f>
        <v/>
      </c>
      <c r="H3538" s="18">
        <f>HYPERLINK("D:\python\英语学习\voices\"&amp;B3538&amp;"_2.mp3","AmE")</f>
        <v/>
      </c>
      <c r="I3538" s="18">
        <f>HYPERLINK("http://dict.youdao.com/w/"&amp;B3538,"有道")</f>
        <v/>
      </c>
    </row>
    <row r="3539">
      <c r="B3539" s="1" t="inlineStr">
        <is>
          <t>conciliatory</t>
        </is>
      </c>
      <c r="C3539" s="17">
        <f>"adj. 安抚的；调和的；调停的"</f>
        <v/>
      </c>
      <c r="G3539" s="18">
        <f>HYPERLINK("D:\python\英语学习\voices\"&amp;B3539&amp;"_1.mp3","BrE")</f>
        <v/>
      </c>
      <c r="H3539" s="18">
        <f>HYPERLINK("D:\python\英语学习\voices\"&amp;B3539&amp;"_2.mp3","AmE")</f>
        <v/>
      </c>
      <c r="I3539" s="18">
        <f>HYPERLINK("http://dict.youdao.com/w/"&amp;B3539,"有道")</f>
        <v/>
      </c>
    </row>
    <row r="3540">
      <c r="B3540" s="1" t="inlineStr">
        <is>
          <t>vitality</t>
        </is>
      </c>
      <c r="C3540" s="17">
        <f>"n. 活力，生气；生命力，生动性"</f>
        <v/>
      </c>
      <c r="G3540" s="18">
        <f>HYPERLINK("D:\python\英语学习\voices\"&amp;B3540&amp;"_1.mp3","BrE")</f>
        <v/>
      </c>
      <c r="H3540" s="18">
        <f>HYPERLINK("D:\python\英语学习\voices\"&amp;B3540&amp;"_2.mp3","AmE")</f>
        <v/>
      </c>
      <c r="I3540" s="18">
        <f>HYPERLINK("http://dict.youdao.com/w/"&amp;B3540,"有道")</f>
        <v/>
      </c>
    </row>
    <row r="3541">
      <c r="B3541" s="1" t="inlineStr">
        <is>
          <t>assertive</t>
        </is>
      </c>
      <c r="C3541" s="17">
        <f>"adj. 肯定的；独断的；坚定而自信的"</f>
        <v/>
      </c>
      <c r="G3541" s="18">
        <f>HYPERLINK("D:\python\英语学习\voices\"&amp;B3541&amp;"_1.mp3","BrE")</f>
        <v/>
      </c>
      <c r="H3541" s="18">
        <f>HYPERLINK("D:\python\英语学习\voices\"&amp;B3541&amp;"_2.mp3","AmE")</f>
        <v/>
      </c>
      <c r="I3541" s="18">
        <f>HYPERLINK("http://dict.youdao.com/w/"&amp;B3541,"有道")</f>
        <v/>
      </c>
    </row>
    <row r="3542">
      <c r="B3542" s="1" t="inlineStr">
        <is>
          <t>gullible</t>
        </is>
      </c>
      <c r="C3542" s="17">
        <f>"adj. 易受骗的；轻信的"</f>
        <v/>
      </c>
      <c r="D3542" s="16" t="inlineStr">
        <is>
          <t>gull除了海鸥还有欺骗的意思</t>
        </is>
      </c>
      <c r="G3542" s="18">
        <f>HYPERLINK("D:\python\英语学习\voices\"&amp;B3542&amp;"_1.mp3","BrE")</f>
        <v/>
      </c>
      <c r="H3542" s="18">
        <f>HYPERLINK("D:\python\英语学习\voices\"&amp;B3542&amp;"_2.mp3","AmE")</f>
        <v/>
      </c>
      <c r="I3542" s="18">
        <f>HYPERLINK("http://dict.youdao.com/w/"&amp;B3542,"有道")</f>
        <v/>
      </c>
    </row>
    <row r="3543">
      <c r="B3543" s="1" t="inlineStr">
        <is>
          <t>suspense</t>
        </is>
      </c>
      <c r="C3543" s="17">
        <f>"n. 悬念；悬疑；焦虑；悬而不决"</f>
        <v/>
      </c>
      <c r="G3543" s="18">
        <f>HYPERLINK("D:\python\英语学习\voices\"&amp;B3543&amp;"_1.mp3","BrE")</f>
        <v/>
      </c>
      <c r="H3543" s="18">
        <f>HYPERLINK("D:\python\英语学习\voices\"&amp;B3543&amp;"_2.mp3","AmE")</f>
        <v/>
      </c>
      <c r="I3543" s="18">
        <f>HYPERLINK("http://dict.youdao.com/w/"&amp;B3543,"有道")</f>
        <v/>
      </c>
    </row>
    <row r="3544">
      <c r="B3544" s="1" t="inlineStr">
        <is>
          <t>imprudence</t>
        </is>
      </c>
      <c r="C3544" s="17">
        <f>"n. 轻率，鲁莽的行为"</f>
        <v/>
      </c>
      <c r="G3544" s="18">
        <f>HYPERLINK("D:\python\英语学习\voices\"&amp;B3544&amp;"_1.mp3","BrE")</f>
        <v/>
      </c>
      <c r="H3544" s="18">
        <f>HYPERLINK("D:\python\英语学习\voices\"&amp;B3544&amp;"_2.mp3","AmE")</f>
        <v/>
      </c>
      <c r="I3544" s="18">
        <f>HYPERLINK("http://dict.youdao.com/w/"&amp;B3544,"有道")</f>
        <v/>
      </c>
    </row>
    <row r="3545">
      <c r="B3545" s="1" t="inlineStr">
        <is>
          <t>imprudent</t>
        </is>
      </c>
      <c r="C3545" s="17">
        <f>"adj. 轻率的，鲁莽的；不小心的"</f>
        <v/>
      </c>
      <c r="G3545" s="18">
        <f>HYPERLINK("D:\python\英语学习\voices\"&amp;B3545&amp;"_1.mp3","BrE")</f>
        <v/>
      </c>
      <c r="H3545" s="18">
        <f>HYPERLINK("D:\python\英语学习\voices\"&amp;B3545&amp;"_2.mp3","AmE")</f>
        <v/>
      </c>
      <c r="I3545" s="18">
        <f>HYPERLINK("http://dict.youdao.com/w/"&amp;B3545,"有道")</f>
        <v/>
      </c>
    </row>
    <row r="3546">
      <c r="B3546" s="1" t="inlineStr">
        <is>
          <t>objectionable</t>
        </is>
      </c>
      <c r="C3546" s="17">
        <f>"adj. 讨厌的；会引起反对的；有异议的"</f>
        <v/>
      </c>
      <c r="D3546" s="16" t="inlineStr">
        <is>
          <t>能反对的-令人反感的 讨厌的</t>
        </is>
      </c>
      <c r="G3546" s="18">
        <f>HYPERLINK("D:\python\英语学习\voices\"&amp;B3546&amp;"_1.mp3","BrE")</f>
        <v/>
      </c>
      <c r="H3546" s="18">
        <f>HYPERLINK("D:\python\英语学习\voices\"&amp;B3546&amp;"_2.mp3","AmE")</f>
        <v/>
      </c>
      <c r="I3546" s="18">
        <f>HYPERLINK("http://dict.youdao.com/w/"&amp;B3546,"有道")</f>
        <v/>
      </c>
    </row>
    <row customHeight="1" ht="85.5" r="3547">
      <c r="B3547" s="1" t="inlineStr">
        <is>
          <t>rebel</t>
        </is>
      </c>
      <c r="C3547" s="17">
        <f>"n. 反叛者，叛徒；叛逆者；反抗权威者"&amp;CHAR(10)&amp;"v. 反叛，反抗，造反；抗命；不接受，不听使唤"&amp;CHAR(10)&amp;"adj. 反抗的；造反的"&amp;CHAR(10)&amp;"n. (Rebel) （美、德、荷、法、俄）勒贝尔（人名）"</f>
        <v/>
      </c>
      <c r="G3547" s="18">
        <f>HYPERLINK("D:\python\英语学习\voices\"&amp;B3547&amp;"_1.mp3","BrE")</f>
        <v/>
      </c>
      <c r="H3547" s="18">
        <f>HYPERLINK("D:\python\英语学习\voices\"&amp;B3547&amp;"_2.mp3","AmE")</f>
        <v/>
      </c>
      <c r="I3547" s="18">
        <f>HYPERLINK("http://dict.youdao.com/w/"&amp;B3547,"有道")</f>
        <v/>
      </c>
    </row>
    <row r="3548">
      <c r="A3548" t="inlineStr">
        <is>
          <t>unnecessary</t>
        </is>
      </c>
      <c r="B3548" s="1" t="inlineStr">
        <is>
          <t>belligerency</t>
        </is>
      </c>
      <c r="C3548" s="17">
        <f>"n. 交战状态；交战"</f>
        <v/>
      </c>
      <c r="G3548" s="18">
        <f>HYPERLINK("D:\python\英语学习\voices\"&amp;B3548&amp;"_1.mp3","BrE")</f>
        <v/>
      </c>
      <c r="H3548" s="18">
        <f>HYPERLINK("D:\python\英语学习\voices\"&amp;B3548&amp;"_2.mp3","AmE")</f>
        <v/>
      </c>
      <c r="I3548" s="18">
        <f>HYPERLINK("http://dict.youdao.com/w/"&amp;B3548,"有道")</f>
        <v/>
      </c>
    </row>
    <row customHeight="1" ht="42.75" r="3549">
      <c r="B3549" s="1" t="inlineStr">
        <is>
          <t>minuscule</t>
        </is>
      </c>
      <c r="C3549" s="17">
        <f>"adj. 极小的；（字母）小写；微不足道的（非正式）"&amp;CHAR(10)&amp;"n. 小写字体；小写字母"</f>
        <v/>
      </c>
      <c r="E3549" s="16" t="inlineStr">
        <is>
          <t>同miniscule</t>
        </is>
      </c>
      <c r="G3549" s="18">
        <f>HYPERLINK("D:\python\英语学习\voices\"&amp;B3549&amp;"_1.mp3","BrE")</f>
        <v/>
      </c>
      <c r="H3549" s="18">
        <f>HYPERLINK("D:\python\英语学习\voices\"&amp;B3549&amp;"_2.mp3","AmE")</f>
        <v/>
      </c>
      <c r="I3549" s="18">
        <f>HYPERLINK("http://dict.youdao.com/w/"&amp;B3549,"有道")</f>
        <v/>
      </c>
    </row>
    <row r="3550">
      <c r="B3550" s="1" t="inlineStr">
        <is>
          <t>intractability</t>
        </is>
      </c>
      <c r="C3550" s="17">
        <f>"n. 棘手；难驾驭"</f>
        <v/>
      </c>
      <c r="G3550" s="18">
        <f>HYPERLINK("D:\python\英语学习\voices\"&amp;B3550&amp;"_1.mp3","BrE")</f>
        <v/>
      </c>
      <c r="H3550" s="18">
        <f>HYPERLINK("D:\python\英语学习\voices\"&amp;B3550&amp;"_2.mp3","AmE")</f>
        <v/>
      </c>
      <c r="I3550" s="18">
        <f>HYPERLINK("http://dict.youdao.com/w/"&amp;B3550,"有道")</f>
        <v/>
      </c>
    </row>
    <row customHeight="1" ht="28.5" r="3551">
      <c r="B3551" s="1" t="inlineStr">
        <is>
          <t>bemoan</t>
        </is>
      </c>
      <c r="C3551" s="17">
        <f>"vt. 惋惜；为…恸哭"&amp;CHAR(10)&amp;"vi. 叹息"</f>
        <v/>
      </c>
      <c r="D3551" s="16" t="inlineStr">
        <is>
          <t>moan叹息呻吟</t>
        </is>
      </c>
      <c r="G3551" s="18">
        <f>HYPERLINK("D:\python\英语学习\voices\"&amp;B3551&amp;"_1.mp3","BrE")</f>
        <v/>
      </c>
      <c r="H3551" s="18">
        <f>HYPERLINK("D:\python\英语学习\voices\"&amp;B3551&amp;"_2.mp3","AmE")</f>
        <v/>
      </c>
      <c r="I3551" s="18">
        <f>HYPERLINK("http://dict.youdao.com/w/"&amp;B3551,"有道")</f>
        <v/>
      </c>
    </row>
    <row customHeight="1" ht="57" r="3552">
      <c r="B3552" s="1" t="inlineStr">
        <is>
          <t>moan</t>
        </is>
      </c>
      <c r="C3552" s="17">
        <f>"vi. 抱怨，悲叹；呻吟"&amp;CHAR(10)&amp;"n. 呻吟声；悲叹"&amp;CHAR(10)&amp;"vt. 抱怨；呻吟着说"&amp;CHAR(10)&amp;"n. (Moan)人名；(法)莫昂"</f>
        <v/>
      </c>
      <c r="G3552" s="18">
        <f>HYPERLINK("D:\python\英语学习\voices\"&amp;B3552&amp;"_1.mp3","BrE")</f>
        <v/>
      </c>
      <c r="H3552" s="18">
        <f>HYPERLINK("D:\python\英语学习\voices\"&amp;B3552&amp;"_2.mp3","AmE")</f>
        <v/>
      </c>
      <c r="I3552" s="18">
        <f>HYPERLINK("http://dict.youdao.com/w/"&amp;B3552,"有道")</f>
        <v/>
      </c>
    </row>
    <row customHeight="1" ht="57" r="3553">
      <c r="B3553" s="1" t="inlineStr">
        <is>
          <t>grotesque</t>
        </is>
      </c>
      <c r="C3553" s="17">
        <f>"adj. 怪诞的，奇怪的，可笑的；丑陋奇异的，奇形怪状的"&amp;CHAR(10)&amp;"n. （尤指书画中的）奇形怪状的人（或物）；奇异风格；（印刷）畸形字体"</f>
        <v/>
      </c>
      <c r="G3553" s="18">
        <f>HYPERLINK("D:\python\英语学习\voices\"&amp;B3553&amp;"_1.mp3","BrE")</f>
        <v/>
      </c>
      <c r="H3553" s="18">
        <f>HYPERLINK("D:\python\英语学习\voices\"&amp;B3553&amp;"_2.mp3","AmE")</f>
        <v/>
      </c>
      <c r="I3553" s="18">
        <f>HYPERLINK("http://dict.youdao.com/w/"&amp;B3553,"有道")</f>
        <v/>
      </c>
    </row>
    <row customHeight="1" ht="57" r="3554">
      <c r="B3554" s="1" t="inlineStr">
        <is>
          <t>dodge</t>
        </is>
      </c>
      <c r="C3554" s="17">
        <f>"v. 躲开；迅速让开；逃避；按变换序列鸣钟；（冲洗或放大时）局部遮光"&amp;CHAR(10)&amp;"n. 闪躲；逃避的诡计；鸣钟的变序"&amp;CHAR(10)&amp;"n. (Dodge) （美）道奇（人名）"</f>
        <v/>
      </c>
      <c r="G3554" s="18">
        <f>HYPERLINK("D:\python\英语学习\voices\"&amp;B3554&amp;"_1.mp3","BrE")</f>
        <v/>
      </c>
      <c r="H3554" s="18">
        <f>HYPERLINK("D:\python\英语学习\voices\"&amp;B3554&amp;"_2.mp3","AmE")</f>
        <v/>
      </c>
      <c r="I3554" s="18">
        <f>HYPERLINK("http://dict.youdao.com/w/"&amp;B3554,"有道")</f>
        <v/>
      </c>
    </row>
    <row r="3555">
      <c r="B3555" s="1" t="inlineStr">
        <is>
          <t>jealous</t>
        </is>
      </c>
      <c r="C3555" s="17">
        <f>"adj. 妒忌的；猜疑的；唯恐失去的；戒备的"</f>
        <v/>
      </c>
      <c r="G3555" s="18">
        <f>HYPERLINK("D:\python\英语学习\voices\"&amp;B3555&amp;"_1.mp3","BrE")</f>
        <v/>
      </c>
      <c r="H3555" s="18">
        <f>HYPERLINK("D:\python\英语学习\voices\"&amp;B3555&amp;"_2.mp3","AmE")</f>
        <v/>
      </c>
      <c r="I3555" s="18">
        <f>HYPERLINK("http://dict.youdao.com/w/"&amp;B3555,"有道")</f>
        <v/>
      </c>
    </row>
    <row r="3556">
      <c r="B3556" s="1" t="inlineStr">
        <is>
          <t>bombshell</t>
        </is>
      </c>
      <c r="C3556" s="17">
        <f>"n. 炸弹；突发事件；引起震惊的人或事"</f>
        <v/>
      </c>
      <c r="G3556" s="18">
        <f>HYPERLINK("D:\python\英语学习\voices\"&amp;B3556&amp;"_1.mp3","BrE")</f>
        <v/>
      </c>
      <c r="H3556" s="18">
        <f>HYPERLINK("D:\python\英语学习\voices\"&amp;B3556&amp;"_2.mp3","AmE")</f>
        <v/>
      </c>
      <c r="I3556" s="18">
        <f>HYPERLINK("http://dict.youdao.com/w/"&amp;B3556,"有道")</f>
        <v/>
      </c>
    </row>
    <row r="3557">
      <c r="B3557" s="1" t="inlineStr">
        <is>
          <t>inept</t>
        </is>
      </c>
      <c r="C3557" s="17">
        <f>"adj. 笨拙的；不适当的"</f>
        <v/>
      </c>
      <c r="G3557" s="18">
        <f>HYPERLINK("D:\python\英语学习\voices\"&amp;B3557&amp;"_1.mp3","BrE")</f>
        <v/>
      </c>
      <c r="H3557" s="18">
        <f>HYPERLINK("D:\python\英语学习\voices\"&amp;B3557&amp;"_2.mp3","AmE")</f>
        <v/>
      </c>
      <c r="I3557" s="18">
        <f>HYPERLINK("http://dict.youdao.com/w/"&amp;B3557,"有道")</f>
        <v/>
      </c>
    </row>
    <row customHeight="1" ht="42.75" r="3558">
      <c r="B3558" s="1" t="inlineStr">
        <is>
          <t>reprieve</t>
        </is>
      </c>
      <c r="C3558" s="17">
        <f>"v. 取消（或缓期）执行……的死刑；取消关闭，暂缓终止"&amp;CHAR(10)&amp;"n. 缓刑，赦免；暂缓，暂时解救"</f>
        <v/>
      </c>
      <c r="G3558" s="18">
        <f>HYPERLINK("D:\python\英语学习\voices\"&amp;B3558&amp;"_1.mp3","BrE")</f>
        <v/>
      </c>
      <c r="H3558" s="18">
        <f>HYPERLINK("D:\python\英语学习\voices\"&amp;B3558&amp;"_2.mp3","AmE")</f>
        <v/>
      </c>
      <c r="I3558" s="18">
        <f>HYPERLINK("http://dict.youdao.com/w/"&amp;B3558,"有道")</f>
        <v/>
      </c>
    </row>
    <row customHeight="1" ht="199.5" r="3559">
      <c r="B3559" s="1" t="inlineStr">
        <is>
          <t>strip</t>
        </is>
      </c>
      <c r="C3559" s="17">
        <f>"v. 脱去衣服；进行脱衣表演；剥去（外皮）；从（某处）拿走所有东西；拆卸；剥夺；修剪（树枝）；（用溶剂）去除（漆）；去掉（烟叶的）梗茎；（为奶牛）收奶；除去（机器、汽车等的）附属装置；拆卸（以进行检修或校正）；剥夺（地位、权力或财产）；（为利润）出售（公司资产）；分离（债券的）息票使二者分开出售；磨掉（螺丝的）螺纹；折断（齿轮的）齿；（螺丝）螺纹损坏；（齿轮）齿折断；（子弹出膛时因膛面磨损而）不旋转"&amp;CHAR(10)&amp;"n. （纸、金属、织物等）带，条状物；脱衣舞；（陆地、海域等）狭长地带；队服；商业街；连环画；飞机跑道"&amp;CHAR(10)&amp;"n. (Strip) （俄、美）史地鄱（人名）"</f>
        <v/>
      </c>
      <c r="E3559" s="6" t="inlineStr">
        <is>
          <t>真 好多意思</t>
        </is>
      </c>
      <c r="G3559" s="18">
        <f>HYPERLINK("D:\python\英语学习\voices\"&amp;B3559&amp;"_1.mp3","BrE")</f>
        <v/>
      </c>
      <c r="H3559" s="18">
        <f>HYPERLINK("D:\python\英语学习\voices\"&amp;B3559&amp;"_2.mp3","AmE")</f>
        <v/>
      </c>
      <c r="I3559" s="18">
        <f>HYPERLINK("http://dict.youdao.com/w/"&amp;B3559,"有道")</f>
        <v/>
      </c>
    </row>
    <row r="3560">
      <c r="B3560" s="1" t="inlineStr">
        <is>
          <t>litigation</t>
        </is>
      </c>
      <c r="C3560" s="17">
        <f>"n. 诉讼；起诉"</f>
        <v/>
      </c>
      <c r="G3560" s="18">
        <f>HYPERLINK("D:\python\英语学习\voices\"&amp;B3560&amp;"_1.mp3","BrE")</f>
        <v/>
      </c>
      <c r="H3560" s="18">
        <f>HYPERLINK("D:\python\英语学习\voices\"&amp;B3560&amp;"_2.mp3","AmE")</f>
        <v/>
      </c>
      <c r="I3560" s="18">
        <f>HYPERLINK("http://dict.youdao.com/w/"&amp;B3560,"有道")</f>
        <v/>
      </c>
    </row>
    <row customHeight="1" ht="28.5" r="3561">
      <c r="B3561" s="1" t="inlineStr">
        <is>
          <t>pandemic</t>
        </is>
      </c>
      <c r="C3561" s="17">
        <f>"adj. （疾病）在全国（或世界）流行的"&amp;CHAR(10)&amp;"n. （全国或全球性）流行病，瘟疫"</f>
        <v/>
      </c>
      <c r="G3561" s="18">
        <f>HYPERLINK("D:\python\英语学习\voices\"&amp;B3561&amp;"_1.mp3","BrE")</f>
        <v/>
      </c>
      <c r="H3561" s="18">
        <f>HYPERLINK("D:\python\英语学习\voices\"&amp;B3561&amp;"_2.mp3","AmE")</f>
        <v/>
      </c>
      <c r="I3561" s="18">
        <f>HYPERLINK("http://dict.youdao.com/w/"&amp;B3561,"有道")</f>
        <v/>
      </c>
    </row>
    <row customHeight="1" ht="28.5" r="3562">
      <c r="B3562" s="1" t="inlineStr">
        <is>
          <t>behemoth</t>
        </is>
      </c>
      <c r="C3562" s="17">
        <f>"n. 巨兽；河马"&amp;CHAR(10)&amp;"adj. 巨大的；高大的"</f>
        <v/>
      </c>
      <c r="G3562" s="18">
        <f>HYPERLINK("D:\python\英语学习\voices\"&amp;B3562&amp;"_1.mp3","BrE")</f>
        <v/>
      </c>
      <c r="H3562" s="18">
        <f>HYPERLINK("D:\python\英语学习\voices\"&amp;B3562&amp;"_2.mp3","AmE")</f>
        <v/>
      </c>
      <c r="I3562" s="18">
        <f>HYPERLINK("http://dict.youdao.com/w/"&amp;B3562,"有道")</f>
        <v/>
      </c>
    </row>
    <row r="3563">
      <c r="B3563" s="1" t="inlineStr">
        <is>
          <t>trendsetter</t>
        </is>
      </c>
      <c r="C3563" s="17">
        <f>"n. 领导流行的人"</f>
        <v/>
      </c>
      <c r="G3563" s="18">
        <f>HYPERLINK("D:\python\英语学习\voices\"&amp;B3563&amp;"_1.mp3","BrE")</f>
        <v/>
      </c>
      <c r="H3563" s="18">
        <f>HYPERLINK("D:\python\英语学习\voices\"&amp;B3563&amp;"_2.mp3","AmE")</f>
        <v/>
      </c>
      <c r="I3563" s="18">
        <f>HYPERLINK("http://dict.youdao.com/w/"&amp;B3563,"有道")</f>
        <v/>
      </c>
    </row>
    <row r="3564">
      <c r="B3564" s="1" t="inlineStr">
        <is>
          <t>window</t>
        </is>
      </c>
      <c r="C3564" s="17">
        <f>"n. 窗；窗口；窗户"</f>
        <v/>
      </c>
      <c r="E3564" s="16" t="inlineStr">
        <is>
          <t>two-month window，相当于两个月的period</t>
        </is>
      </c>
      <c r="G3564" s="18">
        <f>HYPERLINK("D:\python\英语学习\voices\"&amp;B3564&amp;"_1.mp3","BrE")</f>
        <v/>
      </c>
      <c r="H3564" s="18">
        <f>HYPERLINK("D:\python\英语学习\voices\"&amp;B3564&amp;"_2.mp3","AmE")</f>
        <v/>
      </c>
      <c r="I3564" s="18">
        <f>HYPERLINK("http://dict.youdao.com/w/"&amp;B3564,"有道")</f>
        <v/>
      </c>
    </row>
    <row r="3565">
      <c r="B3565" s="1" t="inlineStr">
        <is>
          <t>regularity</t>
        </is>
      </c>
      <c r="C3565" s="17">
        <f>"n. 规则性；整齐；正规；匀称"</f>
        <v/>
      </c>
      <c r="G3565" s="18">
        <f>HYPERLINK("D:\python\英语学习\voices\"&amp;B3565&amp;"_1.mp3","BrE")</f>
        <v/>
      </c>
      <c r="H3565" s="18">
        <f>HYPERLINK("D:\python\英语学习\voices\"&amp;B3565&amp;"_2.mp3","AmE")</f>
        <v/>
      </c>
      <c r="I3565" s="18">
        <f>HYPERLINK("http://dict.youdao.com/w/"&amp;B3565,"有道")</f>
        <v/>
      </c>
    </row>
    <row r="3566">
      <c r="B3566" s="1" t="inlineStr">
        <is>
          <t>trivia</t>
        </is>
      </c>
      <c r="C3566" s="17">
        <f>"n. 琐事"</f>
        <v/>
      </c>
      <c r="G3566" s="18">
        <f>HYPERLINK("D:\python\英语学习\voices\"&amp;B3566&amp;"_1.mp3","BrE")</f>
        <v/>
      </c>
      <c r="H3566" s="18">
        <f>HYPERLINK("D:\python\英语学习\voices\"&amp;B3566&amp;"_2.mp3","AmE")</f>
        <v/>
      </c>
      <c r="I3566" s="18">
        <f>HYPERLINK("http://dict.youdao.com/w/"&amp;B3566,"有道")</f>
        <v/>
      </c>
    </row>
    <row r="3567">
      <c r="B3567" s="1" t="inlineStr">
        <is>
          <t>triviality</t>
        </is>
      </c>
      <c r="C3567" s="17">
        <f>"n. 浅薄，轻浮；琐事；平凡"</f>
        <v/>
      </c>
      <c r="G3567" s="18">
        <f>HYPERLINK("D:\python\英语学习\voices\"&amp;B3567&amp;"_1.mp3","BrE")</f>
        <v/>
      </c>
      <c r="H3567" s="18">
        <f>HYPERLINK("D:\python\英语学习\voices\"&amp;B3567&amp;"_2.mp3","AmE")</f>
        <v/>
      </c>
      <c r="I3567" s="18">
        <f>HYPERLINK("http://dict.youdao.com/w/"&amp;B3567,"有道")</f>
        <v/>
      </c>
    </row>
    <row customHeight="1" ht="28.5" r="3568">
      <c r="B3568" s="1" t="inlineStr">
        <is>
          <t>waxy</t>
        </is>
      </c>
      <c r="C3568" s="17">
        <f>"adj. 蜡制的；像蜡的，质地光滑的，柔软的；蜡色的，苍白的；（非正式）生气的"</f>
        <v/>
      </c>
      <c r="E3568" s="16" t="inlineStr">
        <is>
          <t>国外的蜡烛一般都是白的</t>
        </is>
      </c>
      <c r="G3568" s="18">
        <f>HYPERLINK("D:\python\英语学习\voices\"&amp;B3568&amp;"_1.mp3","BrE")</f>
        <v/>
      </c>
      <c r="H3568" s="18">
        <f>HYPERLINK("D:\python\英语学习\voices\"&amp;B3568&amp;"_2.mp3","AmE")</f>
        <v/>
      </c>
      <c r="I3568" s="18">
        <f>HYPERLINK("http://dict.youdao.com/w/"&amp;B3568,"有道")</f>
        <v/>
      </c>
    </row>
    <row customHeight="1" ht="57" r="3569">
      <c r="B3569" s="1" t="inlineStr">
        <is>
          <t>tongue</t>
        </is>
      </c>
      <c r="C3569" s="17">
        <f>"n. 舌头；语言"&amp;CHAR(10)&amp;"vt. 舔；斥责；用舌吹"&amp;CHAR(10)&amp;"vi. 说话；吹管乐器"&amp;CHAR(10)&amp;"n. (Tongue)人名；(英)唐"</f>
        <v/>
      </c>
      <c r="E3569" s="17" t="inlineStr">
        <is>
          <t>注意拼写
a slip of the tongue</t>
        </is>
      </c>
      <c r="G3569" s="18">
        <f>HYPERLINK("D:\python\英语学习\voices\"&amp;B3569&amp;"_1.mp3","BrE")</f>
        <v/>
      </c>
      <c r="H3569" s="18">
        <f>HYPERLINK("D:\python\英语学习\voices\"&amp;B3569&amp;"_2.mp3","AmE")</f>
        <v/>
      </c>
      <c r="I3569" s="18">
        <f>HYPERLINK("http://dict.youdao.com/w/"&amp;B3569,"有道")</f>
        <v/>
      </c>
    </row>
    <row customHeight="1" ht="57" r="3570">
      <c r="B3570" s="1" t="inlineStr">
        <is>
          <t>slight</t>
        </is>
      </c>
      <c r="C3570" s="17">
        <f>"adj. 轻微的，少量的；脆弱的；细长的；不重要的"&amp;CHAR(10)&amp;"vt. 轻视，忽略；怠慢"&amp;CHAR(10)&amp;"n. 怠慢；轻蔑"</f>
        <v/>
      </c>
      <c r="E3570" s="16" t="inlineStr">
        <is>
          <t>好多意思-名词忽视冷落，动词轻视</t>
        </is>
      </c>
      <c r="G3570" s="18">
        <f>HYPERLINK("D:\python\英语学习\voices\"&amp;B3570&amp;"_1.mp3","BrE")</f>
        <v/>
      </c>
      <c r="H3570" s="18">
        <f>HYPERLINK("D:\python\英语学习\voices\"&amp;B3570&amp;"_2.mp3","AmE")</f>
        <v/>
      </c>
      <c r="I3570" s="18">
        <f>HYPERLINK("http://dict.youdao.com/w/"&amp;B3570,"有道")</f>
        <v/>
      </c>
    </row>
    <row customHeight="1" ht="28.5" r="3571">
      <c r="B3571" s="1" t="inlineStr">
        <is>
          <t>neglect</t>
        </is>
      </c>
      <c r="C3571" s="17">
        <f>"v. 忽视，忽略；疏忽；漏做"&amp;CHAR(10)&amp;"n. 忽略，忽视；未被重视"</f>
        <v/>
      </c>
      <c r="G3571" s="18">
        <f>HYPERLINK("D:\python\英语学习\voices\"&amp;B3571&amp;"_1.mp3","BrE")</f>
        <v/>
      </c>
      <c r="H3571" s="18">
        <f>HYPERLINK("D:\python\英语学习\voices\"&amp;B3571&amp;"_2.mp3","AmE")</f>
        <v/>
      </c>
      <c r="I3571" s="18">
        <f>HYPERLINK("http://dict.youdao.com/w/"&amp;B3571,"有道")</f>
        <v/>
      </c>
    </row>
    <row r="3572">
      <c r="B3572" s="1" t="inlineStr">
        <is>
          <t>negligible</t>
        </is>
      </c>
      <c r="C3572" s="17">
        <f>"adj. 微不足道的，可以忽略的"</f>
        <v/>
      </c>
      <c r="E3572" s="16" t="inlineStr">
        <is>
          <t>注意发音-e发e的音，和neglect不同，重音在ne</t>
        </is>
      </c>
      <c r="G3572" s="18">
        <f>HYPERLINK("D:\python\英语学习\voices\"&amp;B3572&amp;"_1.mp3","BrE")</f>
        <v/>
      </c>
      <c r="H3572" s="18">
        <f>HYPERLINK("D:\python\英语学习\voices\"&amp;B3572&amp;"_2.mp3","AmE")</f>
        <v/>
      </c>
      <c r="I3572" s="18">
        <f>HYPERLINK("http://dict.youdao.com/w/"&amp;B3572,"有道")</f>
        <v/>
      </c>
    </row>
    <row customHeight="1" ht="42.75" r="3573">
      <c r="B3573" s="1" t="inlineStr">
        <is>
          <t>issue</t>
        </is>
      </c>
      <c r="C3573" s="17">
        <f>"n. 问题；流出；期号；发行物"&amp;CHAR(10)&amp;"vt. 发行，发布；发给；放出，排出"&amp;CHAR(10)&amp;"vi. 发行；流出；造成……结果；传下"</f>
        <v/>
      </c>
      <c r="G3573" s="18">
        <f>HYPERLINK("D:\python\英语学习\voices\"&amp;B3573&amp;"_1.mp3","BrE")</f>
        <v/>
      </c>
      <c r="H3573" s="18">
        <f>HYPERLINK("D:\python\英语学习\voices\"&amp;B3573&amp;"_2.mp3","AmE")</f>
        <v/>
      </c>
      <c r="I3573" s="18">
        <f>HYPERLINK("http://dict.youdao.com/w/"&amp;B3573,"有道")</f>
        <v/>
      </c>
    </row>
    <row customHeight="1" ht="28.5" r="3574">
      <c r="B3574" s="1" t="inlineStr">
        <is>
          <t>alternative</t>
        </is>
      </c>
      <c r="C3574" s="17">
        <f>"adj. 供选择的；选择性的；交替的"&amp;CHAR(10)&amp;"n. 二中择一；供替代的选择"</f>
        <v/>
      </c>
      <c r="G3574" s="18">
        <f>HYPERLINK("D:\python\英语学习\voices\"&amp;B3574&amp;"_1.mp3","BrE")</f>
        <v/>
      </c>
      <c r="H3574" s="18">
        <f>HYPERLINK("D:\python\英语学习\voices\"&amp;B3574&amp;"_2.mp3","AmE")</f>
        <v/>
      </c>
      <c r="I3574" s="18">
        <f>HYPERLINK("http://dict.youdao.com/w/"&amp;B3574,"有道")</f>
        <v/>
      </c>
    </row>
    <row r="3575">
      <c r="B3575" s="1" t="inlineStr">
        <is>
          <t>palliate</t>
        </is>
      </c>
      <c r="C3575" s="17">
        <f>"vt. 减轻；掩饰；辩解"</f>
        <v/>
      </c>
      <c r="E3575" s="16" t="inlineStr">
        <is>
          <t>'=alleviate</t>
        </is>
      </c>
      <c r="G3575" s="18">
        <f>HYPERLINK("D:\python\英语学习\voices\"&amp;B3575&amp;"_1.mp3","BrE")</f>
        <v/>
      </c>
      <c r="H3575" s="18">
        <f>HYPERLINK("D:\python\英语学习\voices\"&amp;B3575&amp;"_2.mp3","AmE")</f>
        <v/>
      </c>
      <c r="I3575" s="18">
        <f>HYPERLINK("http://dict.youdao.com/w/"&amp;B3575,"有道")</f>
        <v/>
      </c>
    </row>
    <row customHeight="1" ht="28.5" r="3576">
      <c r="B3576" s="1" t="inlineStr">
        <is>
          <t>enrich</t>
        </is>
      </c>
      <c r="C3576" s="17">
        <f>"vt. 使充实；使肥沃；使富足"&amp;CHAR(10)&amp;"n. (Enrich)人名；(西)恩里奇"</f>
        <v/>
      </c>
      <c r="G3576" s="18">
        <f>HYPERLINK("D:\python\英语学习\voices\"&amp;B3576&amp;"_1.mp3","BrE")</f>
        <v/>
      </c>
      <c r="H3576" s="18">
        <f>HYPERLINK("D:\python\英语学习\voices\"&amp;B3576&amp;"_2.mp3","AmE")</f>
        <v/>
      </c>
      <c r="I3576" s="18">
        <f>HYPERLINK("http://dict.youdao.com/w/"&amp;B3576,"有道")</f>
        <v/>
      </c>
    </row>
    <row r="3577">
      <c r="B3577" s="1" t="inlineStr">
        <is>
          <t>unremarkable</t>
        </is>
      </c>
      <c r="C3577" s="17">
        <f>"adj. 平凡的；不显著的；不值得注意的"</f>
        <v/>
      </c>
      <c r="E3577" s="16" t="inlineStr">
        <is>
          <t>'=normal</t>
        </is>
      </c>
      <c r="G3577" s="18">
        <f>HYPERLINK("D:\python\英语学习\voices\"&amp;B3577&amp;"_1.mp3","BrE")</f>
        <v/>
      </c>
      <c r="H3577" s="18">
        <f>HYPERLINK("D:\python\英语学习\voices\"&amp;B3577&amp;"_2.mp3","AmE")</f>
        <v/>
      </c>
      <c r="I3577" s="18">
        <f>HYPERLINK("http://dict.youdao.com/w/"&amp;B3577,"有道")</f>
        <v/>
      </c>
    </row>
    <row customHeight="1" ht="42.75" r="3578">
      <c r="B3578" s="1" t="inlineStr">
        <is>
          <t>spurn</t>
        </is>
      </c>
      <c r="C3578" s="17">
        <f>"vt. 唾弃；冷落；一脚踢开"&amp;CHAR(10)&amp;"vi. 摒弃；藐视"&amp;CHAR(10)&amp;"n. 藐视，摒弃；踢开"</f>
        <v/>
      </c>
      <c r="G3578" s="18">
        <f>HYPERLINK("D:\python\英语学习\voices\"&amp;B3578&amp;"_1.mp3","BrE")</f>
        <v/>
      </c>
      <c r="H3578" s="18">
        <f>HYPERLINK("D:\python\英语学习\voices\"&amp;B3578&amp;"_2.mp3","AmE")</f>
        <v/>
      </c>
      <c r="I3578" s="18">
        <f>HYPERLINK("http://dict.youdao.com/w/"&amp;B3578,"有道")</f>
        <v/>
      </c>
    </row>
    <row r="3579">
      <c r="B3579" s="1" t="inlineStr">
        <is>
          <t>banality</t>
        </is>
      </c>
      <c r="C3579" s="17">
        <f>"n. 平凡；陈腐；陈词滥调"</f>
        <v/>
      </c>
      <c r="G3579" s="18">
        <f>HYPERLINK("D:\python\英语学习\voices\"&amp;B3579&amp;"_1.mp3","BrE")</f>
        <v/>
      </c>
      <c r="H3579" s="18">
        <f>HYPERLINK("D:\python\英语学习\voices\"&amp;B3579&amp;"_2.mp3","AmE")</f>
        <v/>
      </c>
      <c r="I3579" s="18">
        <f>HYPERLINK("http://dict.youdao.com/w/"&amp;B3579,"有道")</f>
        <v/>
      </c>
    </row>
    <row r="3580">
      <c r="B3580" s="1" t="inlineStr">
        <is>
          <t>triteness</t>
        </is>
      </c>
      <c r="C3580" s="17">
        <f>"n. 陈腐；平凡"</f>
        <v/>
      </c>
      <c r="G3580" s="18">
        <f>HYPERLINK("D:\python\英语学习\voices\"&amp;B3580&amp;"_1.mp3","BrE")</f>
        <v/>
      </c>
      <c r="H3580" s="18">
        <f>HYPERLINK("D:\python\英语学习\voices\"&amp;B3580&amp;"_2.mp3","AmE")</f>
        <v/>
      </c>
      <c r="I3580" s="18">
        <f>HYPERLINK("http://dict.youdao.com/w/"&amp;B3580,"有道")</f>
        <v/>
      </c>
    </row>
    <row r="3581">
      <c r="B3581" s="1" t="inlineStr">
        <is>
          <t>dullness</t>
        </is>
      </c>
      <c r="C3581" s="17">
        <f>"n. 迟钝，钝度"</f>
        <v/>
      </c>
      <c r="G3581" s="18">
        <f>HYPERLINK("D:\python\英语学习\voices\"&amp;B3581&amp;"_1.mp3","BrE")</f>
        <v/>
      </c>
      <c r="H3581" s="18">
        <f>HYPERLINK("D:\python\英语学习\voices\"&amp;B3581&amp;"_2.mp3","AmE")</f>
        <v/>
      </c>
      <c r="I3581" s="18">
        <f>HYPERLINK("http://dict.youdao.com/w/"&amp;B3581,"有道")</f>
        <v/>
      </c>
    </row>
    <row r="3582">
      <c r="B3582" s="1" t="inlineStr">
        <is>
          <t>platitude</t>
        </is>
      </c>
      <c r="C3582" s="17">
        <f>"n. 陈词滥调；平凡；陈腐"</f>
        <v/>
      </c>
      <c r="G3582" s="18">
        <f>HYPERLINK("D:\python\英语学习\voices\"&amp;B3582&amp;"_1.mp3","BrE")</f>
        <v/>
      </c>
      <c r="H3582" s="18">
        <f>HYPERLINK("D:\python\英语学习\voices\"&amp;B3582&amp;"_2.mp3","AmE")</f>
        <v/>
      </c>
      <c r="I3582" s="18">
        <f>HYPERLINK("http://dict.youdao.com/w/"&amp;B3582,"有道")</f>
        <v/>
      </c>
    </row>
    <row customHeight="1" ht="28.5" r="3583">
      <c r="B3583" s="1" t="inlineStr">
        <is>
          <t>proficient</t>
        </is>
      </c>
      <c r="C3583" s="17">
        <f>"adj. 熟练的，精通的"&amp;CHAR(10)&amp;"n. 精通；专家，能手"</f>
        <v/>
      </c>
      <c r="G3583" s="18">
        <f>HYPERLINK("D:\python\英语学习\voices\"&amp;B3583&amp;"_1.mp3","BrE")</f>
        <v/>
      </c>
      <c r="H3583" s="18">
        <f>HYPERLINK("D:\python\英语学习\voices\"&amp;B3583&amp;"_2.mp3","AmE")</f>
        <v/>
      </c>
      <c r="I3583" s="18">
        <f>HYPERLINK("http://dict.youdao.com/w/"&amp;B3583,"有道")</f>
        <v/>
      </c>
    </row>
    <row r="3584">
      <c r="B3584" s="1" t="inlineStr">
        <is>
          <t>hospitable</t>
        </is>
      </c>
      <c r="C3584" s="17">
        <f>"adj. 热情友好的；（环境）舒适的"</f>
        <v/>
      </c>
      <c r="G3584" s="18">
        <f>HYPERLINK("D:\python\英语学习\voices\"&amp;B3584&amp;"_1.mp3","BrE")</f>
        <v/>
      </c>
      <c r="H3584" s="18">
        <f>HYPERLINK("D:\python\英语学习\voices\"&amp;B3584&amp;"_2.mp3","AmE")</f>
        <v/>
      </c>
      <c r="I3584" s="18">
        <f>HYPERLINK("http://dict.youdao.com/w/"&amp;B3584,"有道")</f>
        <v/>
      </c>
    </row>
    <row r="3585">
      <c r="B3585" s="1" t="inlineStr">
        <is>
          <t>decent</t>
        </is>
      </c>
      <c r="C3585" s="17">
        <f>"adj. 正派的；得体的；相当好的"</f>
        <v/>
      </c>
      <c r="G3585" s="18">
        <f>HYPERLINK("D:\python\英语学习\voices\"&amp;B3585&amp;"_1.mp3","BrE")</f>
        <v/>
      </c>
      <c r="H3585" s="18">
        <f>HYPERLINK("D:\python\英语学习\voices\"&amp;B3585&amp;"_2.mp3","AmE")</f>
        <v/>
      </c>
      <c r="I3585" s="18">
        <f>HYPERLINK("http://dict.youdao.com/w/"&amp;B3585,"有道")</f>
        <v/>
      </c>
    </row>
    <row customHeight="1" ht="28.5" r="3586">
      <c r="B3586" s="1" t="inlineStr">
        <is>
          <t>descend</t>
        </is>
      </c>
      <c r="C3586" s="17">
        <f>"vi. 下降；下去；下来；遗传；屈尊"&amp;CHAR(10)&amp;"vt. 下去；沿…向下"</f>
        <v/>
      </c>
      <c r="E3586" s="16" t="inlineStr">
        <is>
          <t>gradient descend 梯度下降</t>
        </is>
      </c>
      <c r="G3586" s="18">
        <f>HYPERLINK("D:\python\英语学习\voices\"&amp;B3586&amp;"_1.mp3","BrE")</f>
        <v/>
      </c>
      <c r="H3586" s="18">
        <f>HYPERLINK("D:\python\英语学习\voices\"&amp;B3586&amp;"_2.mp3","AmE")</f>
        <v/>
      </c>
      <c r="I3586" s="18">
        <f>HYPERLINK("http://dict.youdao.com/w/"&amp;B3586,"有道")</f>
        <v/>
      </c>
    </row>
    <row customHeight="1" ht="28.5" r="3587">
      <c r="A3587" t="inlineStr">
        <is>
          <t>unnecessary</t>
        </is>
      </c>
      <c r="B3587" s="1" t="inlineStr">
        <is>
          <t>rigidity</t>
        </is>
      </c>
      <c r="C3587" s="17">
        <f>"n. [物] 硬度，[力] 刚性；严格，刻板；僵化；坚硬"</f>
        <v/>
      </c>
      <c r="E3587" t="inlineStr">
        <is>
          <t>注意发音-重音在g</t>
        </is>
      </c>
      <c r="G3587" s="18">
        <f>HYPERLINK("D:\python\英语学习\voices\"&amp;B3587&amp;"_1.mp3","BrE")</f>
        <v/>
      </c>
      <c r="H3587" s="18">
        <f>HYPERLINK("D:\python\英语学习\voices\"&amp;B3587&amp;"_2.mp3","AmE")</f>
        <v/>
      </c>
      <c r="I3587" s="18">
        <f>HYPERLINK("http://dict.youdao.com/w/"&amp;B3587,"有道")</f>
        <v/>
      </c>
    </row>
    <row customHeight="1" ht="28.5" r="3588">
      <c r="B3588" s="1" t="inlineStr">
        <is>
          <t>rigid</t>
        </is>
      </c>
      <c r="C3588" s="17">
        <f>"adj. 严格的；僵硬的，死板的；坚硬的；精确的"</f>
        <v/>
      </c>
      <c r="G3588" s="18">
        <f>HYPERLINK("D:\python\英语学习\voices\"&amp;B3588&amp;"_1.mp3","BrE")</f>
        <v/>
      </c>
      <c r="H3588" s="18">
        <f>HYPERLINK("D:\python\英语学习\voices\"&amp;B3588&amp;"_2.mp3","AmE")</f>
        <v/>
      </c>
      <c r="I3588" s="18">
        <f>HYPERLINK("http://dict.youdao.com/w/"&amp;B3588,"有道")</f>
        <v/>
      </c>
    </row>
    <row customHeight="1" ht="28.5" r="3589">
      <c r="A3589" t="inlineStr">
        <is>
          <t>unnecessary</t>
        </is>
      </c>
      <c r="B3589" s="1" t="inlineStr">
        <is>
          <t>altar</t>
        </is>
      </c>
      <c r="C3589" s="17">
        <f>"n. 祭坛；圣坛；圣餐台"&amp;CHAR(10)&amp;"n. (Altar)人名；(法、塞、罗)阿尔塔"</f>
        <v/>
      </c>
      <c r="G3589" s="18">
        <f>HYPERLINK("D:\python\英语学习\voices\"&amp;B3589&amp;"_1.mp3","BrE")</f>
        <v/>
      </c>
      <c r="H3589" s="18">
        <f>HYPERLINK("D:\python\英语学习\voices\"&amp;B3589&amp;"_2.mp3","AmE")</f>
        <v/>
      </c>
      <c r="I3589" s="18">
        <f>HYPERLINK("http://dict.youdao.com/w/"&amp;B3589,"有道")</f>
        <v/>
      </c>
    </row>
    <row customHeight="1" ht="42.75" r="3590">
      <c r="B3590" s="1" t="inlineStr">
        <is>
          <t>custom</t>
        </is>
      </c>
      <c r="C3590" s="17">
        <f>"n. 习惯，惯例；风俗；经常光顾；[总称]（经常性的）顾客"&amp;CHAR(10)&amp;"adj. （衣服等）定做的，定制的"</f>
        <v/>
      </c>
      <c r="G3590" s="18">
        <f>HYPERLINK("D:\python\英语学习\voices\"&amp;B3590&amp;"_1.mp3","BrE")</f>
        <v/>
      </c>
      <c r="H3590" s="18">
        <f>HYPERLINK("D:\python\英语学习\voices\"&amp;B3590&amp;"_2.mp3","AmE")</f>
        <v/>
      </c>
      <c r="I3590" s="18">
        <f>HYPERLINK("http://dict.youdao.com/w/"&amp;B3590,"有道")</f>
        <v/>
      </c>
    </row>
    <row r="3591">
      <c r="B3591" s="1" t="inlineStr">
        <is>
          <t>accustom</t>
        </is>
      </c>
      <c r="C3591" s="17">
        <f>"v. 使习惯于，使适应"</f>
        <v/>
      </c>
      <c r="G3591" s="18">
        <f>HYPERLINK("D:\python\英语学习\voices\"&amp;B3591&amp;"_1.mp3","BrE")</f>
        <v/>
      </c>
      <c r="H3591" s="18">
        <f>HYPERLINK("D:\python\英语学习\voices\"&amp;B3591&amp;"_2.mp3","AmE")</f>
        <v/>
      </c>
      <c r="I3591" s="18">
        <f>HYPERLINK("http://dict.youdao.com/w/"&amp;B3591,"有道")</f>
        <v/>
      </c>
    </row>
    <row customHeight="1" ht="28.5" r="3592">
      <c r="B3592" s="1" t="inlineStr">
        <is>
          <t>assent</t>
        </is>
      </c>
      <c r="C3592" s="17">
        <f>"n. 赞成；批准"&amp;CHAR(10)&amp;"v. （尤指官方）赞成，同意"</f>
        <v/>
      </c>
      <c r="G3592" s="18">
        <f>HYPERLINK("D:\python\英语学习\voices\"&amp;B3592&amp;"_1.mp3","BrE")</f>
        <v/>
      </c>
      <c r="H3592" s="18">
        <f>HYPERLINK("D:\python\英语学习\voices\"&amp;B3592&amp;"_2.mp3","AmE")</f>
        <v/>
      </c>
      <c r="I3592" s="18">
        <f>HYPERLINK("http://dict.youdao.com/w/"&amp;B3592,"有道")</f>
        <v/>
      </c>
    </row>
    <row r="3593">
      <c r="B3593" s="1" t="inlineStr">
        <is>
          <t>materialism</t>
        </is>
      </c>
      <c r="C3593" s="17">
        <f>"n. 唯物主义；唯物论；物质主义"</f>
        <v/>
      </c>
      <c r="G3593" s="18">
        <f>HYPERLINK("D:\python\英语学习\voices\"&amp;B3593&amp;"_1.mp3","BrE")</f>
        <v/>
      </c>
      <c r="H3593" s="18">
        <f>HYPERLINK("D:\python\英语学习\voices\"&amp;B3593&amp;"_2.mp3","AmE")</f>
        <v/>
      </c>
      <c r="I3593" s="18">
        <f>HYPERLINK("http://dict.youdao.com/w/"&amp;B3593,"有道")</f>
        <v/>
      </c>
    </row>
    <row customHeight="1" ht="28.5" r="3594">
      <c r="A3594" t="inlineStr">
        <is>
          <t>unnecessary</t>
        </is>
      </c>
      <c r="B3594" s="1" t="inlineStr">
        <is>
          <t>plenipotentiary</t>
        </is>
      </c>
      <c r="C3594" s="17">
        <f>"adj. 全权代表的；有全权的"&amp;CHAR(10)&amp;"n. 全权代表；全权大使"</f>
        <v/>
      </c>
      <c r="G3594" s="18">
        <f>HYPERLINK("D:\python\英语学习\voices\"&amp;B3594&amp;"_1.mp3","BrE")</f>
        <v/>
      </c>
      <c r="H3594" s="18">
        <f>HYPERLINK("D:\python\英语学习\voices\"&amp;B3594&amp;"_2.mp3","AmE")</f>
        <v/>
      </c>
      <c r="I3594" s="18">
        <f>HYPERLINK("http://dict.youdao.com/w/"&amp;B3594,"有道")</f>
        <v/>
      </c>
    </row>
    <row r="3595">
      <c r="B3595" s="1" t="inlineStr">
        <is>
          <t>opulence</t>
        </is>
      </c>
      <c r="C3595" s="17">
        <f>"n. 富裕；丰富"</f>
        <v/>
      </c>
      <c r="G3595" s="18">
        <f>HYPERLINK("D:\python\英语学习\voices\"&amp;B3595&amp;"_1.mp3","BrE")</f>
        <v/>
      </c>
      <c r="H3595" s="18">
        <f>HYPERLINK("D:\python\英语学习\voices\"&amp;B3595&amp;"_2.mp3","AmE")</f>
        <v/>
      </c>
      <c r="I3595" s="18">
        <f>HYPERLINK("http://dict.youdao.com/w/"&amp;B3595,"有道")</f>
        <v/>
      </c>
    </row>
    <row r="3596">
      <c r="B3596" s="1" t="inlineStr">
        <is>
          <t>opulent</t>
        </is>
      </c>
      <c r="C3596" s="17">
        <f>"adj. 丰富的；富裕的；大量的"</f>
        <v/>
      </c>
      <c r="G3596" s="18">
        <f>HYPERLINK("D:\python\英语学习\voices\"&amp;B3596&amp;"_1.mp3","BrE")</f>
        <v/>
      </c>
      <c r="H3596" s="18">
        <f>HYPERLINK("D:\python\英语学习\voices\"&amp;B3596&amp;"_2.mp3","AmE")</f>
        <v/>
      </c>
      <c r="I3596" s="18">
        <f>HYPERLINK("http://dict.youdao.com/w/"&amp;B3596,"有道")</f>
        <v/>
      </c>
    </row>
    <row customHeight="1" ht="57" r="3597">
      <c r="B3597" s="1" t="inlineStr">
        <is>
          <t>keynote</t>
        </is>
      </c>
      <c r="C3597" s="17">
        <f>"n. 基调；主旨；主音"&amp;CHAR(10)&amp;"vt. 给…定基调；说明基本政策"&amp;CHAR(10)&amp;"vi. 作主旨发言"&amp;CHAR(10)&amp;"n. （Keynote）Keynote讲演"</f>
        <v/>
      </c>
      <c r="G3597" s="18">
        <f>HYPERLINK("D:\python\英语学习\voices\"&amp;B3597&amp;"_1.mp3","BrE")</f>
        <v/>
      </c>
      <c r="H3597" s="18">
        <f>HYPERLINK("D:\python\英语学习\voices\"&amp;B3597&amp;"_2.mp3","AmE")</f>
        <v/>
      </c>
      <c r="I3597" s="18">
        <f>HYPERLINK("http://dict.youdao.com/w/"&amp;B3597,"有道")</f>
        <v/>
      </c>
    </row>
    <row customHeight="1" ht="28.5" r="3598">
      <c r="B3598" s="1" t="inlineStr">
        <is>
          <t>exuberance</t>
        </is>
      </c>
      <c r="C3598" s="17">
        <f>"n. 丰富，茂盛；健康；感情洋溢(或慷慨激昂)的言行；(感情等的)过度(或极度)表现"</f>
        <v/>
      </c>
      <c r="G3598" s="18">
        <f>HYPERLINK("D:\python\英语学习\voices\"&amp;B3598&amp;"_1.mp3","BrE")</f>
        <v/>
      </c>
      <c r="H3598" s="18">
        <f>HYPERLINK("D:\python\英语学习\voices\"&amp;B3598&amp;"_2.mp3","AmE")</f>
        <v/>
      </c>
      <c r="I3598" s="18">
        <f>HYPERLINK("http://dict.youdao.com/w/"&amp;B3598,"有道")</f>
        <v/>
      </c>
    </row>
    <row customHeight="1" ht="28.5" r="3599">
      <c r="B3599" s="1" t="inlineStr">
        <is>
          <t>protean</t>
        </is>
      </c>
      <c r="C3599" s="17">
        <f>"adj. 千变万化的；一人演几个角色的；变形虫的"</f>
        <v/>
      </c>
      <c r="D3599" t="inlineStr">
        <is>
          <t>protein蛋白质是千变万化的-protean</t>
        </is>
      </c>
      <c r="G3599" s="18">
        <f>HYPERLINK("D:\python\英语学习\voices\"&amp;B3599&amp;"_1.mp3","BrE")</f>
        <v/>
      </c>
      <c r="H3599" s="18">
        <f>HYPERLINK("D:\python\英语学习\voices\"&amp;B3599&amp;"_2.mp3","AmE")</f>
        <v/>
      </c>
      <c r="I3599" s="18">
        <f>HYPERLINK("http://dict.youdao.com/w/"&amp;B3599,"有道")</f>
        <v/>
      </c>
    </row>
    <row r="3600">
      <c r="B3600" s="1" t="inlineStr">
        <is>
          <t>universality</t>
        </is>
      </c>
      <c r="C3600" s="17">
        <f>"n. 普遍性；广泛性；一般性；多方面性"</f>
        <v/>
      </c>
      <c r="G3600" s="18">
        <f>HYPERLINK("D:\python\英语学习\voices\"&amp;B3600&amp;"_1.mp3","BrE")</f>
        <v/>
      </c>
      <c r="H3600" s="18">
        <f>HYPERLINK("D:\python\英语学习\voices\"&amp;B3600&amp;"_2.mp3","AmE")</f>
        <v/>
      </c>
      <c r="I3600" s="18">
        <f>HYPERLINK("http://dict.youdao.com/w/"&amp;B3600,"有道")</f>
        <v/>
      </c>
    </row>
    <row customHeight="1" ht="28.5" r="3601">
      <c r="B3601" s="1" t="inlineStr">
        <is>
          <t>competence</t>
        </is>
      </c>
      <c r="C3601" s="17">
        <f>"n. 能力，胜任；权限；作证能力；足以过舒适生活的收入"</f>
        <v/>
      </c>
      <c r="G3601" s="18">
        <f>HYPERLINK("D:\python\英语学习\voices\"&amp;B3601&amp;"_1.mp3","BrE")</f>
        <v/>
      </c>
      <c r="H3601" s="18">
        <f>HYPERLINK("D:\python\英语学习\voices\"&amp;B3601&amp;"_2.mp3","AmE")</f>
        <v/>
      </c>
      <c r="I3601" s="18">
        <f>HYPERLINK("http://dict.youdao.com/w/"&amp;B3601,"有道")</f>
        <v/>
      </c>
    </row>
    <row r="3602">
      <c r="B3602" s="1" t="inlineStr">
        <is>
          <t>subservient</t>
        </is>
      </c>
      <c r="C3602" s="17">
        <f>"adj. 屈从的；奉承的；有用的；有帮助的"</f>
        <v/>
      </c>
      <c r="E3602" t="inlineStr">
        <is>
          <t>直属中央政府</t>
        </is>
      </c>
      <c r="G3602" s="18">
        <f>HYPERLINK("D:\python\英语学习\voices\"&amp;B3602&amp;"_1.mp3","BrE")</f>
        <v/>
      </c>
      <c r="H3602" s="18">
        <f>HYPERLINK("D:\python\英语学习\voices\"&amp;B3602&amp;"_2.mp3","AmE")</f>
        <v/>
      </c>
      <c r="I3602" s="18">
        <f>HYPERLINK("http://dict.youdao.com/w/"&amp;B3602,"有道")</f>
        <v/>
      </c>
    </row>
    <row customHeight="1" ht="28.5" r="3603">
      <c r="B3603" s="1" t="inlineStr">
        <is>
          <t>pristine</t>
        </is>
      </c>
      <c r="C3603" s="17">
        <f>"adj. 崭新的，清新的，干净的；未开发的，原始的"</f>
        <v/>
      </c>
      <c r="G3603" s="18">
        <f>HYPERLINK("D:\python\英语学习\voices\"&amp;B3603&amp;"_1.mp3","BrE")</f>
        <v/>
      </c>
      <c r="H3603" s="18">
        <f>HYPERLINK("D:\python\英语学习\voices\"&amp;B3603&amp;"_2.mp3","AmE")</f>
        <v/>
      </c>
      <c r="I3603" s="18">
        <f>HYPERLINK("http://dict.youdao.com/w/"&amp;B3603,"有道")</f>
        <v/>
      </c>
    </row>
    <row customHeight="1" ht="42.75" r="3604">
      <c r="B3604" s="1" t="inlineStr">
        <is>
          <t>disgorge</t>
        </is>
      </c>
      <c r="C3604" s="17">
        <f>"vt. 吐出；被迫交出；香槟酒酿制过程中的一道程序，即在插入最后的软木塞前，把沉淀物从酒瓶中取出"</f>
        <v/>
      </c>
      <c r="G3604" s="18">
        <f>HYPERLINK("D:\python\英语学习\voices\"&amp;B3604&amp;"_1.mp3","BrE")</f>
        <v/>
      </c>
      <c r="H3604" s="18">
        <f>HYPERLINK("D:\python\英语学习\voices\"&amp;B3604&amp;"_2.mp3","AmE")</f>
        <v/>
      </c>
      <c r="I3604" s="18">
        <f>HYPERLINK("http://dict.youdao.com/w/"&amp;B3604,"有道")</f>
        <v/>
      </c>
    </row>
    <row customHeight="1" ht="28.5" r="3605">
      <c r="B3605" s="1" t="inlineStr">
        <is>
          <t>malady</t>
        </is>
      </c>
      <c r="C3605" s="17">
        <f>"n. 弊病；疾病；腐败"&amp;CHAR(10)&amp;"n. (Malady)人名；(英)马拉迪"</f>
        <v/>
      </c>
      <c r="D3605" t="inlineStr">
        <is>
          <t>mal-坏</t>
        </is>
      </c>
      <c r="G3605" s="18">
        <f>HYPERLINK("D:\python\英语学习\voices\"&amp;B3605&amp;"_1.mp3","BrE")</f>
        <v/>
      </c>
      <c r="H3605" s="18">
        <f>HYPERLINK("D:\python\英语学习\voices\"&amp;B3605&amp;"_2.mp3","AmE")</f>
        <v/>
      </c>
      <c r="I3605" s="18">
        <f>HYPERLINK("http://dict.youdao.com/w/"&amp;B3605,"有道")</f>
        <v/>
      </c>
    </row>
    <row customHeight="1" ht="28.5" r="3606">
      <c r="B3606" s="1" t="inlineStr">
        <is>
          <t>germane</t>
        </is>
      </c>
      <c r="C3606" s="17">
        <f>"adj. 有密切关系的；贴切的；恰当的"&amp;CHAR(10)&amp;"n. (Germane)人名；(英)杰曼"</f>
        <v/>
      </c>
      <c r="G3606" s="18">
        <f>HYPERLINK("D:\python\英语学习\voices\"&amp;B3606&amp;"_1.mp3","BrE")</f>
        <v/>
      </c>
      <c r="H3606" s="18">
        <f>HYPERLINK("D:\python\英语学习\voices\"&amp;B3606&amp;"_2.mp3","AmE")</f>
        <v/>
      </c>
      <c r="I3606" s="18">
        <f>HYPERLINK("http://dict.youdao.com/w/"&amp;B3606,"有道")</f>
        <v/>
      </c>
    </row>
    <row customHeight="1" ht="28.5" r="3607">
      <c r="B3607" s="1" t="inlineStr">
        <is>
          <t>palliative</t>
        </is>
      </c>
      <c r="C3607" s="17">
        <f>"n. 缓和剂；姑息治疗；保守疗法；权宜之计"&amp;CHAR(10)&amp;"adj. 治标的；减轻痛苦的；缓解的"</f>
        <v/>
      </c>
      <c r="G3607" s="18">
        <f>HYPERLINK("D:\python\英语学习\voices\"&amp;B3607&amp;"_1.mp3","BrE")</f>
        <v/>
      </c>
      <c r="H3607" s="18">
        <f>HYPERLINK("D:\python\英语学习\voices\"&amp;B3607&amp;"_2.mp3","AmE")</f>
        <v/>
      </c>
      <c r="I3607" s="18">
        <f>HYPERLINK("http://dict.youdao.com/w/"&amp;B3607,"有道")</f>
        <v/>
      </c>
    </row>
    <row customHeight="1" ht="28.5" r="3608">
      <c r="B3608" s="1" t="inlineStr">
        <is>
          <t>antiquate</t>
        </is>
      </c>
      <c r="C3608" s="17">
        <f>"v. 废弃，使……过时；使……具有古旧形式或风格"</f>
        <v/>
      </c>
      <c r="G3608" s="18">
        <f>HYPERLINK("D:\python\英语学习\voices\"&amp;B3608&amp;"_1.mp3","BrE")</f>
        <v/>
      </c>
      <c r="H3608" s="18">
        <f>HYPERLINK("D:\python\英语学习\voices\"&amp;B3608&amp;"_2.mp3","AmE")</f>
        <v/>
      </c>
      <c r="I3608" s="18">
        <f>HYPERLINK("http://dict.youdao.com/w/"&amp;B3608,"有道")</f>
        <v/>
      </c>
    </row>
    <row r="3609">
      <c r="B3609" s="1" t="inlineStr">
        <is>
          <t>probity</t>
        </is>
      </c>
      <c r="C3609" s="17">
        <f>"n. 廉洁；正直"</f>
        <v/>
      </c>
      <c r="G3609" s="18">
        <f>HYPERLINK("D:\python\英语学习\voices\"&amp;B3609&amp;"_1.mp3","BrE")</f>
        <v/>
      </c>
      <c r="H3609" s="18">
        <f>HYPERLINK("D:\python\英语学习\voices\"&amp;B3609&amp;"_2.mp3","AmE")</f>
        <v/>
      </c>
      <c r="I3609" s="18">
        <f>HYPERLINK("http://dict.youdao.com/w/"&amp;B3609,"有道")</f>
        <v/>
      </c>
    </row>
    <row r="3610">
      <c r="B3610" s="1" t="inlineStr">
        <is>
          <t>ingenuous</t>
        </is>
      </c>
      <c r="C3610" s="17">
        <f>"adj. 天真的；坦白的；正直的；朴实的"</f>
        <v/>
      </c>
      <c r="E3610" s="16" t="inlineStr">
        <is>
          <t>注意与ingenious区分</t>
        </is>
      </c>
      <c r="G3610" s="18">
        <f>HYPERLINK("D:\python\英语学习\voices\"&amp;B3610&amp;"_1.mp3","BrE")</f>
        <v/>
      </c>
      <c r="H3610" s="18">
        <f>HYPERLINK("D:\python\英语学习\voices\"&amp;B3610&amp;"_2.mp3","AmE")</f>
        <v/>
      </c>
      <c r="I3610" s="18">
        <f>HYPERLINK("http://dict.youdao.com/w/"&amp;B3610,"有道")</f>
        <v/>
      </c>
    </row>
    <row r="3611">
      <c r="B3611" s="1" t="inlineStr">
        <is>
          <t>proscriptive</t>
        </is>
      </c>
      <c r="C3611" s="17">
        <f>"adj. 放逐的；剥夺人权的；禁止的"</f>
        <v/>
      </c>
      <c r="G3611" s="18">
        <f>HYPERLINK("D:\python\英语学习\voices\"&amp;B3611&amp;"_1.mp3","BrE")</f>
        <v/>
      </c>
      <c r="H3611" s="18">
        <f>HYPERLINK("D:\python\英语学习\voices\"&amp;B3611&amp;"_2.mp3","AmE")</f>
        <v/>
      </c>
      <c r="I3611" s="18">
        <f>HYPERLINK("http://dict.youdao.com/w/"&amp;B3611,"有道")</f>
        <v/>
      </c>
    </row>
    <row r="3612">
      <c r="B3612" s="1" t="inlineStr">
        <is>
          <t>proscribe</t>
        </is>
      </c>
      <c r="C3612" s="17">
        <f>"vt. 剥夺……的公权；禁止"</f>
        <v/>
      </c>
      <c r="G3612" s="18">
        <f>HYPERLINK("D:\python\英语学习\voices\"&amp;B3612&amp;"_1.mp3","BrE")</f>
        <v/>
      </c>
      <c r="H3612" s="18">
        <f>HYPERLINK("D:\python\英语学习\voices\"&amp;B3612&amp;"_2.mp3","AmE")</f>
        <v/>
      </c>
      <c r="I3612" s="18">
        <f>HYPERLINK("http://dict.youdao.com/w/"&amp;B3612,"有道")</f>
        <v/>
      </c>
    </row>
    <row r="3613">
      <c r="B3613" s="1" t="inlineStr">
        <is>
          <t>venerability</t>
        </is>
      </c>
      <c r="C3613" s="17">
        <f>"n. 尊敬；庄严；历史悠久"</f>
        <v/>
      </c>
      <c r="G3613" s="18">
        <f>HYPERLINK("D:\python\英语学习\voices\"&amp;B3613&amp;"_1.mp3","BrE")</f>
        <v/>
      </c>
      <c r="H3613" s="18">
        <f>HYPERLINK("D:\python\英语学习\voices\"&amp;B3613&amp;"_2.mp3","AmE")</f>
        <v/>
      </c>
      <c r="I3613" s="18">
        <f>HYPERLINK("http://dict.youdao.com/w/"&amp;B3613,"有道")</f>
        <v/>
      </c>
    </row>
    <row customHeight="1" ht="28.5" r="3614">
      <c r="B3614" s="1" t="inlineStr">
        <is>
          <t>accretion</t>
        </is>
      </c>
      <c r="C3614" s="17">
        <f>"n. 积聚层，冲积层；加，积聚（过程）；积淀物，增加物；吸积"</f>
        <v/>
      </c>
      <c r="G3614" s="18">
        <f>HYPERLINK("D:\python\英语学习\voices\"&amp;B3614&amp;"_1.mp3","BrE")</f>
        <v/>
      </c>
      <c r="H3614" s="18">
        <f>HYPERLINK("D:\python\英语学习\voices\"&amp;B3614&amp;"_2.mp3","AmE")</f>
        <v/>
      </c>
      <c r="I3614" s="18">
        <f>HYPERLINK("http://dict.youdao.com/w/"&amp;B3614,"有道")</f>
        <v/>
      </c>
    </row>
    <row r="3615">
      <c r="B3615" s="1" t="inlineStr">
        <is>
          <t>obdurate</t>
        </is>
      </c>
      <c r="C3615" s="17">
        <f>"adj. 顽固的，执拗的；冷酷无情的"</f>
        <v/>
      </c>
      <c r="G3615" s="18">
        <f>HYPERLINK("D:\python\英语学习\voices\"&amp;B3615&amp;"_1.mp3","BrE")</f>
        <v/>
      </c>
      <c r="H3615" s="18">
        <f>HYPERLINK("D:\python\英语学习\voices\"&amp;B3615&amp;"_2.mp3","AmE")</f>
        <v/>
      </c>
      <c r="I3615" s="18">
        <f>HYPERLINK("http://dict.youdao.com/w/"&amp;B3615,"有道")</f>
        <v/>
      </c>
    </row>
    <row r="3616">
      <c r="A3616" s="1" t="inlineStr">
        <is>
          <t>practice</t>
        </is>
      </c>
      <c r="B3616" s="1" t="inlineStr">
        <is>
          <t>rhapsody</t>
        </is>
      </c>
      <c r="C3616" s="7">
        <f>"n. 狂想曲；狂诗"</f>
        <v/>
      </c>
      <c r="E3616" s="6" t="inlineStr">
        <is>
          <t>注意拼写</t>
        </is>
      </c>
      <c r="G3616" s="18">
        <f>HYPERLINK("D:\python\英语学习\voices\"&amp;B3616&amp;"_1.mp3","BrE")</f>
        <v/>
      </c>
      <c r="H3616" s="18">
        <f>HYPERLINK("D:\python\英语学习\voices\"&amp;B3616&amp;"_2.mp3","AmE")</f>
        <v/>
      </c>
      <c r="I3616" s="18">
        <f>HYPERLINK("http://dict.youdao.com/w/"&amp;B3616,"有道")</f>
        <v/>
      </c>
    </row>
    <row customHeight="1" ht="28.5" r="3617">
      <c r="B3617" s="1" t="inlineStr">
        <is>
          <t>triumph</t>
        </is>
      </c>
      <c r="C3617" s="17">
        <f>"n. 胜利，凯旋；欢欣"&amp;CHAR(10)&amp;"vi. 获得胜利，成功"</f>
        <v/>
      </c>
      <c r="G3617" s="18">
        <f>HYPERLINK("D:\python\英语学习\voices\"&amp;B3617&amp;"_1.mp3","BrE")</f>
        <v/>
      </c>
      <c r="H3617" s="18">
        <f>HYPERLINK("D:\python\英语学习\voices\"&amp;B3617&amp;"_2.mp3","AmE")</f>
        <v/>
      </c>
      <c r="I3617" s="18">
        <f>HYPERLINK("http://dict.youdao.com/w/"&amp;B3617,"有道")</f>
        <v/>
      </c>
    </row>
    <row customHeight="1" ht="57" r="3618">
      <c r="B3618" s="1" t="inlineStr">
        <is>
          <t>objective</t>
        </is>
      </c>
      <c r="C3618" s="17">
        <f>"n. 目的；目标；（军事行动的）攻击目标；物镜；宾格"&amp;CHAR(10)&amp;"adj. 客观的；客观存在的；（疾病症状）客观的，他觉的；目标的；宾格的"</f>
        <v/>
      </c>
      <c r="G3618" s="18">
        <f>HYPERLINK("D:\python\英语学习\voices\"&amp;B3618&amp;"_1.mp3","BrE")</f>
        <v/>
      </c>
      <c r="H3618" s="18">
        <f>HYPERLINK("D:\python\英语学习\voices\"&amp;B3618&amp;"_2.mp3","AmE")</f>
        <v/>
      </c>
      <c r="I3618" s="18">
        <f>HYPERLINK("http://dict.youdao.com/w/"&amp;B3618,"有道")</f>
        <v/>
      </c>
    </row>
    <row r="3619">
      <c r="B3619" s="1" t="inlineStr">
        <is>
          <t>justification</t>
        </is>
      </c>
      <c r="C3619" s="17">
        <f>"n. 理由；辩护；认为有理，认为正当；释罪"</f>
        <v/>
      </c>
      <c r="E3619" s="16" t="inlineStr">
        <is>
          <t>用的好很好</t>
        </is>
      </c>
      <c r="G3619" s="18">
        <f>HYPERLINK("D:\python\英语学习\voices\"&amp;B3619&amp;"_1.mp3","BrE")</f>
        <v/>
      </c>
      <c r="H3619" s="18">
        <f>HYPERLINK("D:\python\英语学习\voices\"&amp;B3619&amp;"_2.mp3","AmE")</f>
        <v/>
      </c>
      <c r="I3619" s="18">
        <f>HYPERLINK("http://dict.youdao.com/w/"&amp;B3619,"有道")</f>
        <v/>
      </c>
    </row>
    <row r="3620">
      <c r="B3620" s="1" t="inlineStr">
        <is>
          <t>wariness</t>
        </is>
      </c>
      <c r="C3620" s="17">
        <f>"n. 谨慎，小心"</f>
        <v/>
      </c>
      <c r="G3620" s="18">
        <f>HYPERLINK("D:\python\英语学习\voices\"&amp;B3620&amp;"_1.mp3","BrE")</f>
        <v/>
      </c>
      <c r="H3620" s="18">
        <f>HYPERLINK("D:\python\英语学习\voices\"&amp;B3620&amp;"_2.mp3","AmE")</f>
        <v/>
      </c>
      <c r="I3620" s="18">
        <f>HYPERLINK("http://dict.youdao.com/w/"&amp;B3620,"有道")</f>
        <v/>
      </c>
    </row>
    <row r="3621">
      <c r="B3621" s="1" t="inlineStr">
        <is>
          <t>atypical</t>
        </is>
      </c>
      <c r="C3621" s="17">
        <f>"adj. 非典型的；不合规则的"</f>
        <v/>
      </c>
      <c r="D3621" t="inlineStr">
        <is>
          <t>a- 非</t>
        </is>
      </c>
      <c r="E3621" s="16" t="inlineStr">
        <is>
          <t>注意发音-ei</t>
        </is>
      </c>
      <c r="G3621" s="18">
        <f>HYPERLINK("D:\python\英语学习\voices\"&amp;B3621&amp;"_1.mp3","BrE")</f>
        <v/>
      </c>
      <c r="H3621" s="18">
        <f>HYPERLINK("D:\python\英语学习\voices\"&amp;B3621&amp;"_2.mp3","AmE")</f>
        <v/>
      </c>
      <c r="I3621" s="18">
        <f>HYPERLINK("http://dict.youdao.com/w/"&amp;B3621,"有道")</f>
        <v/>
      </c>
    </row>
    <row r="3622">
      <c r="B3622" s="1" t="inlineStr">
        <is>
          <t>opportune</t>
        </is>
      </c>
      <c r="C3622" s="17">
        <f>"adj. 适当的；恰好的；合时宜的"</f>
        <v/>
      </c>
      <c r="E3622" s="16" t="inlineStr">
        <is>
          <t>opportune moment恰当时机</t>
        </is>
      </c>
      <c r="G3622" s="18">
        <f>HYPERLINK("D:\python\英语学习\voices\"&amp;B3622&amp;"_1.mp3","BrE")</f>
        <v/>
      </c>
      <c r="H3622" s="18">
        <f>HYPERLINK("D:\python\英语学习\voices\"&amp;B3622&amp;"_2.mp3","AmE")</f>
        <v/>
      </c>
      <c r="I3622" s="18">
        <f>HYPERLINK("http://dict.youdao.com/w/"&amp;B3622,"有道")</f>
        <v/>
      </c>
    </row>
    <row r="3623">
      <c r="B3623" s="1" t="inlineStr">
        <is>
          <t>spectacular</t>
        </is>
      </c>
      <c r="C3623" s="17">
        <f>"adj. 壮观的，惊人的；公开展示的"</f>
        <v/>
      </c>
      <c r="G3623" s="18">
        <f>HYPERLINK("D:\python\英语学习\voices\"&amp;B3623&amp;"_1.mp3","BrE")</f>
        <v/>
      </c>
      <c r="H3623" s="18">
        <f>HYPERLINK("D:\python\英语学习\voices\"&amp;B3623&amp;"_2.mp3","AmE")</f>
        <v/>
      </c>
      <c r="I3623" s="18">
        <f>HYPERLINK("http://dict.youdao.com/w/"&amp;B3623,"有道")</f>
        <v/>
      </c>
    </row>
    <row customHeight="1" ht="28.5" r="3624">
      <c r="B3624" s="1" t="inlineStr">
        <is>
          <t>persona</t>
        </is>
      </c>
      <c r="C3624" s="17">
        <f>"n. 人物角色；伪装的外表"&amp;CHAR(10)&amp;"n. (Persona)人名；(捷)佩尔索纳"</f>
        <v/>
      </c>
      <c r="E3624" t="inlineStr">
        <is>
          <t>persona non grata 不受欢迎的人</t>
        </is>
      </c>
      <c r="G3624" s="18">
        <f>HYPERLINK("D:\python\英语学习\voices\"&amp;B3624&amp;"_1.mp3","BrE")</f>
        <v/>
      </c>
      <c r="H3624" s="18">
        <f>HYPERLINK("D:\python\英语学习\voices\"&amp;B3624&amp;"_2.mp3","AmE")</f>
        <v/>
      </c>
      <c r="I3624" s="18">
        <f>HYPERLINK("http://dict.youdao.com/w/"&amp;B3624,"有道")</f>
        <v/>
      </c>
    </row>
    <row r="3625">
      <c r="B3625" s="1" t="inlineStr">
        <is>
          <t>lining</t>
        </is>
      </c>
      <c r="C3625" s="17">
        <f>"n. 衬里；内层；衬套"</f>
        <v/>
      </c>
      <c r="E3625" t="inlineStr">
        <is>
          <t>silver lining 一线希望-太阳穿过云层的那条银边</t>
        </is>
      </c>
      <c r="G3625" s="18">
        <f>HYPERLINK("D:\python\英语学习\voices\"&amp;B3625&amp;"_1.mp3","BrE")</f>
        <v/>
      </c>
      <c r="H3625" s="18">
        <f>HYPERLINK("D:\python\英语学习\voices\"&amp;B3625&amp;"_2.mp3","AmE")</f>
        <v/>
      </c>
      <c r="I3625" s="18">
        <f>HYPERLINK("http://dict.youdao.com/w/"&amp;B3625,"有道")</f>
        <v/>
      </c>
    </row>
    <row customHeight="1" ht="42.75" r="3626">
      <c r="B3626" s="1" t="inlineStr">
        <is>
          <t>loiter</t>
        </is>
      </c>
      <c r="C3626" s="17">
        <f>"vi. 虚度；闲荡；徘徊"&amp;CHAR(10)&amp;"vt. 虚度；闲荡；混"&amp;CHAR(10)&amp;"n. (Loiter)人名；(俄)洛伊特"</f>
        <v/>
      </c>
      <c r="G3626" s="18">
        <f>HYPERLINK("D:\python\英语学习\voices\"&amp;B3626&amp;"_1.mp3","BrE")</f>
        <v/>
      </c>
      <c r="H3626" s="18">
        <f>HYPERLINK("D:\python\英语学习\voices\"&amp;B3626&amp;"_2.mp3","AmE")</f>
        <v/>
      </c>
      <c r="I3626" s="18">
        <f>HYPERLINK("http://dict.youdao.com/w/"&amp;B3626,"有道")</f>
        <v/>
      </c>
    </row>
    <row r="3627">
      <c r="A3627" t="inlineStr">
        <is>
          <t>unnecessary</t>
        </is>
      </c>
      <c r="B3627" s="1" t="inlineStr">
        <is>
          <t>enneagram</t>
        </is>
      </c>
      <c r="C3627" s="17">
        <f>"n. 九型人格；性格形态学"</f>
        <v/>
      </c>
      <c r="G3627" s="18">
        <f>HYPERLINK("D:\python\英语学习\voices\"&amp;B3627&amp;"_1.mp3","BrE")</f>
        <v/>
      </c>
      <c r="H3627" s="18">
        <f>HYPERLINK("D:\python\英语学习\voices\"&amp;B3627&amp;"_2.mp3","AmE")</f>
        <v/>
      </c>
      <c r="I3627" s="18">
        <f>HYPERLINK("http://dict.youdao.com/w/"&amp;B3627,"有道")</f>
        <v/>
      </c>
    </row>
    <row customHeight="1" ht="28.5" r="3628">
      <c r="B3628" s="1" t="inlineStr">
        <is>
          <t>recline</t>
        </is>
      </c>
      <c r="C3628" s="17">
        <f>"vi. 靠；依赖；斜倚"&amp;CHAR(10)&amp;"vt. 使躺下；使斜倚"</f>
        <v/>
      </c>
      <c r="G3628" s="18">
        <f>HYPERLINK("D:\python\英语学习\voices\"&amp;B3628&amp;"_1.mp3","BrE")</f>
        <v/>
      </c>
      <c r="H3628" s="18">
        <f>HYPERLINK("D:\python\英语学习\voices\"&amp;B3628&amp;"_2.mp3","AmE")</f>
        <v/>
      </c>
      <c r="I3628" s="18">
        <f>HYPERLINK("http://dict.youdao.com/w/"&amp;B3628,"有道")</f>
        <v/>
      </c>
    </row>
    <row customHeight="1" ht="28.5" r="3629">
      <c r="B3629" s="1" t="inlineStr">
        <is>
          <t>recliner</t>
        </is>
      </c>
      <c r="C3629" s="17">
        <f>"n. 斜靠著的人；躺著的人；活动躺椅（等于reclining chair）"</f>
        <v/>
      </c>
      <c r="G3629" s="18">
        <f>HYPERLINK("D:\python\英语学习\voices\"&amp;B3629&amp;"_1.mp3","BrE")</f>
        <v/>
      </c>
      <c r="H3629" s="18">
        <f>HYPERLINK("D:\python\英语学习\voices\"&amp;B3629&amp;"_2.mp3","AmE")</f>
        <v/>
      </c>
      <c r="I3629" s="18">
        <f>HYPERLINK("http://dict.youdao.com/w/"&amp;B3629,"有道")</f>
        <v/>
      </c>
    </row>
    <row r="3630">
      <c r="B3630" s="1" t="inlineStr">
        <is>
          <t>skeevy</t>
        </is>
      </c>
      <c r="C3630" s="17">
        <f>"adj. 讨厌的；肮脏的；使不悦的"</f>
        <v/>
      </c>
      <c r="G3630" s="18">
        <f>HYPERLINK("D:\python\英语学习\voices\"&amp;B3630&amp;"_1.mp3","BrE")</f>
        <v/>
      </c>
      <c r="H3630" s="18">
        <f>HYPERLINK("D:\python\英语学习\voices\"&amp;B3630&amp;"_2.mp3","AmE")</f>
        <v/>
      </c>
      <c r="I3630" s="18">
        <f>HYPERLINK("http://dict.youdao.com/w/"&amp;B3630,"有道")</f>
        <v/>
      </c>
    </row>
    <row customHeight="1" ht="42.75" r="3631">
      <c r="A3631" t="inlineStr">
        <is>
          <t>unnecessary</t>
        </is>
      </c>
      <c r="B3631" s="1" t="inlineStr">
        <is>
          <t>illuminati</t>
        </is>
      </c>
      <c r="C3631" s="17">
        <f>"n. 自称睿智的人；上层人士，社会精英"&amp;CHAR(10)&amp;"n. (Illuminati) 光照派；光照会"&amp;CHAR(10)&amp;"n. (Illuminati) （意）伊卢米纳蒂（人名）"</f>
        <v/>
      </c>
      <c r="G3631" s="18">
        <f>HYPERLINK("D:\python\英语学习\voices\"&amp;B3631&amp;"_1.mp3","BrE")</f>
        <v/>
      </c>
      <c r="H3631" s="18">
        <f>HYPERLINK("D:\python\英语学习\voices\"&amp;B3631&amp;"_2.mp3","AmE")</f>
        <v/>
      </c>
      <c r="I3631" s="18">
        <f>HYPERLINK("http://dict.youdao.com/w/"&amp;B3631,"有道")</f>
        <v/>
      </c>
    </row>
    <row r="3632">
      <c r="A3632" t="inlineStr">
        <is>
          <t>practice</t>
        </is>
      </c>
      <c r="B3632" s="1" t="inlineStr">
        <is>
          <t>mesmerize</t>
        </is>
      </c>
      <c r="C3632" s="17">
        <f>"vt. 施催眠术；迷住；以魅力迫使"</f>
        <v/>
      </c>
      <c r="E3632" t="inlineStr">
        <is>
          <t>s发z的音 spellbound fascinate enthrall captivate hypnotize</t>
        </is>
      </c>
      <c r="G3632" s="18">
        <f>HYPERLINK("D:\python\英语学习\voices\"&amp;B3632&amp;"_1.mp3","BrE")</f>
        <v/>
      </c>
      <c r="H3632" s="18">
        <f>HYPERLINK("D:\python\英语学习\voices\"&amp;B3632&amp;"_2.mp3","AmE")</f>
        <v/>
      </c>
      <c r="I3632" s="18">
        <f>HYPERLINK("http://dict.youdao.com/w/"&amp;B3632,"有道")</f>
        <v/>
      </c>
    </row>
    <row r="3633">
      <c r="B3633" s="1" t="inlineStr">
        <is>
          <t>captivate</t>
        </is>
      </c>
      <c r="C3633" s="17">
        <f>"v. 迷住，使……着迷"</f>
        <v/>
      </c>
      <c r="G3633" s="18">
        <f>HYPERLINK("D:\python\英语学习\voices\"&amp;B3633&amp;"_1.mp3","BrE")</f>
        <v/>
      </c>
      <c r="H3633" s="18">
        <f>HYPERLINK("D:\python\英语学习\voices\"&amp;B3633&amp;"_2.mp3","AmE")</f>
        <v/>
      </c>
      <c r="I3633" s="18">
        <f>HYPERLINK("http://dict.youdao.com/w/"&amp;B3633,"有道")</f>
        <v/>
      </c>
    </row>
    <row customHeight="1" ht="28.5" r="3634">
      <c r="B3634" s="1" t="inlineStr">
        <is>
          <t>hypnotize</t>
        </is>
      </c>
      <c r="C3634" s="17">
        <f>"vt. 使着迷；对…施催眠术；使恍惚"&amp;CHAR(10)&amp;"vi. 施催眠术；使进入睡觉状态"</f>
        <v/>
      </c>
      <c r="G3634" s="18">
        <f>HYPERLINK("D:\python\英语学习\voices\"&amp;B3634&amp;"_1.mp3","BrE")</f>
        <v/>
      </c>
      <c r="H3634" s="18">
        <f>HYPERLINK("D:\python\英语学习\voices\"&amp;B3634&amp;"_2.mp3","AmE")</f>
        <v/>
      </c>
      <c r="I3634" s="18">
        <f>HYPERLINK("http://dict.youdao.com/w/"&amp;B3634,"有道")</f>
        <v/>
      </c>
    </row>
    <row customHeight="1" ht="57" r="3635">
      <c r="A3635" t="inlineStr">
        <is>
          <t>unnecessary</t>
        </is>
      </c>
      <c r="B3635" s="1" t="inlineStr">
        <is>
          <t>syringe</t>
        </is>
      </c>
      <c r="C3635" s="17">
        <f>"n. （皮下）注射器；吸管；（园艺或烹饪中的）喷射器"&amp;CHAR(10)&amp;"v. 用注射器清洗（耳朵）；用喷射器（在植物上）喷洒（液体）"</f>
        <v/>
      </c>
      <c r="G3635" s="18">
        <f>HYPERLINK("D:\python\英语学习\voices\"&amp;B3635&amp;"_1.mp3","BrE")</f>
        <v/>
      </c>
      <c r="H3635" s="18">
        <f>HYPERLINK("D:\python\英语学习\voices\"&amp;B3635&amp;"_2.mp3","AmE")</f>
        <v/>
      </c>
      <c r="I3635" s="18">
        <f>HYPERLINK("http://dict.youdao.com/w/"&amp;B3635,"有道")</f>
        <v/>
      </c>
    </row>
    <row customHeight="1" ht="57" r="3636">
      <c r="B3636" s="1" t="inlineStr">
        <is>
          <t>spruce</t>
        </is>
      </c>
      <c r="C3636" s="17">
        <f>"vi. 打扮整齐；使显干净"&amp;CHAR(10)&amp;"adj. 整洁的"&amp;CHAR(10)&amp;"vt. 打扮整齐"&amp;CHAR(10)&amp;"n. 云杉"</f>
        <v/>
      </c>
      <c r="G3636" s="18">
        <f>HYPERLINK("D:\python\英语学习\voices\"&amp;B3636&amp;"_1.mp3","BrE")</f>
        <v/>
      </c>
      <c r="H3636" s="18">
        <f>HYPERLINK("D:\python\英语学习\voices\"&amp;B3636&amp;"_2.mp3","AmE")</f>
        <v/>
      </c>
      <c r="I3636" s="18">
        <f>HYPERLINK("http://dict.youdao.com/w/"&amp;B3636,"有道")</f>
        <v/>
      </c>
    </row>
    <row r="3637">
      <c r="B3637" s="1" t="inlineStr">
        <is>
          <t>repulsive</t>
        </is>
      </c>
      <c r="C3637" s="17">
        <f>"adj. 排斥的；令人厌恶的；击退的；冷淡的"</f>
        <v/>
      </c>
      <c r="G3637" s="18">
        <f>HYPERLINK("D:\python\英语学习\voices\"&amp;B3637&amp;"_1.mp3","BrE")</f>
        <v/>
      </c>
      <c r="H3637" s="18">
        <f>HYPERLINK("D:\python\英语学习\voices\"&amp;B3637&amp;"_2.mp3","AmE")</f>
        <v/>
      </c>
      <c r="I3637" s="18">
        <f>HYPERLINK("http://dict.youdao.com/w/"&amp;B3637,"有道")</f>
        <v/>
      </c>
    </row>
    <row r="3638">
      <c r="B3638" s="1" t="inlineStr">
        <is>
          <t>abash</t>
        </is>
      </c>
      <c r="C3638" s="17">
        <f>"vt. 使困窘；使羞愧；使局促不安"</f>
        <v/>
      </c>
      <c r="G3638" s="18">
        <f>HYPERLINK("D:\python\英语学习\voices\"&amp;B3638&amp;"_1.mp3","BrE")</f>
        <v/>
      </c>
      <c r="H3638" s="18">
        <f>HYPERLINK("D:\python\英语学习\voices\"&amp;B3638&amp;"_2.mp3","AmE")</f>
        <v/>
      </c>
      <c r="I3638" s="18">
        <f>HYPERLINK("http://dict.youdao.com/w/"&amp;B3638,"有道")</f>
        <v/>
      </c>
    </row>
    <row r="3639">
      <c r="B3639" s="1" t="inlineStr">
        <is>
          <t>magnate</t>
        </is>
      </c>
      <c r="C3639" s="17">
        <f>"n. 巨头；大资本家；要人；富豪；……大王"</f>
        <v/>
      </c>
      <c r="G3639" s="18">
        <f>HYPERLINK("D:\python\英语学习\voices\"&amp;B3639&amp;"_1.mp3","BrE")</f>
        <v/>
      </c>
      <c r="H3639" s="18">
        <f>HYPERLINK("D:\python\英语学习\voices\"&amp;B3639&amp;"_2.mp3","AmE")</f>
        <v/>
      </c>
      <c r="I3639" s="18">
        <f>HYPERLINK("http://dict.youdao.com/w/"&amp;B3639,"有道")</f>
        <v/>
      </c>
    </row>
    <row customHeight="1" ht="114" r="3640">
      <c r="B3640" s="1" t="inlineStr">
        <is>
          <t>joint</t>
        </is>
      </c>
      <c r="C3640" s="17">
        <f>"adj. 联合的，合办的；共同拥有的；连带的；连接的"&amp;CHAR(10)&amp;"n. 关节；接缝；接合处，接合点；（牛，羊等的腿）大块肉；（非正式）娱乐场所；（非正式）大麻烟卷；（电影或音乐的）创意作品"&amp;CHAR(10)&amp;"v. 连接，贴合，接合；使有接头；把（动物）切成大块肉"&amp;CHAR(10)&amp;"n. (Joint) （美）茹安（人名）"</f>
        <v/>
      </c>
      <c r="E3640" t="inlineStr">
        <is>
          <t>joint-first 并列第一</t>
        </is>
      </c>
      <c r="G3640" s="18">
        <f>HYPERLINK("D:\python\英语学习\voices\"&amp;B3640&amp;"_1.mp3","BrE")</f>
        <v/>
      </c>
      <c r="H3640" s="18">
        <f>HYPERLINK("D:\python\英语学习\voices\"&amp;B3640&amp;"_2.mp3","AmE")</f>
        <v/>
      </c>
      <c r="I3640" s="18">
        <f>HYPERLINK("http://dict.youdao.com/w/"&amp;B3640,"有道")</f>
        <v/>
      </c>
    </row>
    <row customHeight="1" ht="28.5" r="3641">
      <c r="B3641" s="1" t="inlineStr">
        <is>
          <t>tenured</t>
        </is>
      </c>
      <c r="C3641" s="17">
        <f>"adj. （美）享有终身职位的"&amp;CHAR(10)&amp;"v. 授予…终身职位（tenure的过去分词）"</f>
        <v/>
      </c>
      <c r="G3641" s="18">
        <f>HYPERLINK("D:\python\英语学习\voices\"&amp;B3641&amp;"_1.mp3","BrE")</f>
        <v/>
      </c>
      <c r="H3641" s="18">
        <f>HYPERLINK("D:\python\英语学习\voices\"&amp;B3641&amp;"_2.mp3","AmE")</f>
        <v/>
      </c>
      <c r="I3641" s="18">
        <f>HYPERLINK("http://dict.youdao.com/w/"&amp;B3641,"有道")</f>
        <v/>
      </c>
    </row>
    <row customHeight="1" ht="57" r="3642">
      <c r="B3642" s="1" t="inlineStr">
        <is>
          <t>rebut</t>
        </is>
      </c>
      <c r="C3642" s="17">
        <f>"vt. 反驳；揭露；拒绝"&amp;CHAR(10)&amp;"vi. 反驳；揭露"&amp;CHAR(10)&amp;"n. 驳回；提出反证"&amp;CHAR(10)&amp;"n. (Rebut)人名；(法)勒比；(英)雷巴特"</f>
        <v/>
      </c>
      <c r="G3642" s="18">
        <f>HYPERLINK("D:\python\英语学习\voices\"&amp;B3642&amp;"_1.mp3","BrE")</f>
        <v/>
      </c>
      <c r="H3642" s="18">
        <f>HYPERLINK("D:\python\英语学习\voices\"&amp;B3642&amp;"_2.mp3","AmE")</f>
        <v/>
      </c>
      <c r="I3642" s="18">
        <f>HYPERLINK("http://dict.youdao.com/w/"&amp;B3642,"有道")</f>
        <v/>
      </c>
    </row>
    <row customHeight="1" ht="42.75" r="3643">
      <c r="B3643" s="1" t="inlineStr">
        <is>
          <t>upright</t>
        </is>
      </c>
      <c r="C3643" s="17">
        <f>"adj. 正直的，诚实的；垂直的，直立的；笔直的；合乎正道的"&amp;CHAR(10)&amp;"n. 垂直；竖立"</f>
        <v/>
      </c>
      <c r="G3643" s="18">
        <f>HYPERLINK("D:\python\英语学习\voices\"&amp;B3643&amp;"_1.mp3","BrE")</f>
        <v/>
      </c>
      <c r="H3643" s="18">
        <f>HYPERLINK("D:\python\英语学习\voices\"&amp;B3643&amp;"_2.mp3","AmE")</f>
        <v/>
      </c>
      <c r="I3643" s="18">
        <f>HYPERLINK("http://dict.youdao.com/w/"&amp;B3643,"有道")</f>
        <v/>
      </c>
    </row>
    <row customHeight="1" ht="28.5" r="3644">
      <c r="B3644" s="1" t="inlineStr">
        <is>
          <t>descendent</t>
        </is>
      </c>
      <c r="C3644" s="17">
        <f>"adj. 降落的；世袭的；派生的"&amp;CHAR(10)&amp;"n. 后裔；派生物；后继型产品"</f>
        <v/>
      </c>
      <c r="G3644" s="18">
        <f>HYPERLINK("D:\python\英语学习\voices\"&amp;B3644&amp;"_1.mp3","BrE")</f>
        <v/>
      </c>
      <c r="H3644" s="18">
        <f>HYPERLINK("D:\python\英语学习\voices\"&amp;B3644&amp;"_2.mp3","AmE")</f>
        <v/>
      </c>
      <c r="I3644" s="18">
        <f>HYPERLINK("http://dict.youdao.com/w/"&amp;B3644,"有道")</f>
        <v/>
      </c>
    </row>
    <row customHeight="1" ht="28.5" r="3645">
      <c r="B3645" s="1" t="inlineStr">
        <is>
          <t>emigrant</t>
        </is>
      </c>
      <c r="C3645" s="17">
        <f>"n. 移民；侨民"&amp;CHAR(10)&amp;"adj. 移民的；移居的"</f>
        <v/>
      </c>
      <c r="G3645" s="18">
        <f>HYPERLINK("D:\python\英语学习\voices\"&amp;B3645&amp;"_1.mp3","BrE")</f>
        <v/>
      </c>
      <c r="H3645" s="18">
        <f>HYPERLINK("D:\python\英语学习\voices\"&amp;B3645&amp;"_2.mp3","AmE")</f>
        <v/>
      </c>
      <c r="I3645" s="18">
        <f>HYPERLINK("http://dict.youdao.com/w/"&amp;B3645,"有道")</f>
        <v/>
      </c>
    </row>
    <row customHeight="1" ht="28.5" r="3646">
      <c r="B3646" s="1" t="inlineStr">
        <is>
          <t>immigrant</t>
        </is>
      </c>
      <c r="C3646" s="17">
        <f>"adj. 移民的；迁入的"&amp;CHAR(10)&amp;"n. 移民，侨民"</f>
        <v/>
      </c>
      <c r="G3646" s="18">
        <f>HYPERLINK("D:\python\英语学习\voices\"&amp;B3646&amp;"_1.mp3","BrE")</f>
        <v/>
      </c>
      <c r="H3646" s="18">
        <f>HYPERLINK("D:\python\英语学习\voices\"&amp;B3646&amp;"_2.mp3","AmE")</f>
        <v/>
      </c>
      <c r="I3646" s="18">
        <f>HYPERLINK("http://dict.youdao.com/w/"&amp;B3646,"有道")</f>
        <v/>
      </c>
    </row>
    <row r="3647">
      <c r="B3647" s="1" t="inlineStr">
        <is>
          <t>immigration</t>
        </is>
      </c>
      <c r="C3647" s="17">
        <f>"n. 外来移民；移居"</f>
        <v/>
      </c>
      <c r="G3647" s="18">
        <f>HYPERLINK("D:\python\英语学习\voices\"&amp;B3647&amp;"_1.mp3","BrE")</f>
        <v/>
      </c>
      <c r="H3647" s="18">
        <f>HYPERLINK("D:\python\英语学习\voices\"&amp;B3647&amp;"_2.mp3","AmE")</f>
        <v/>
      </c>
      <c r="I3647" s="18">
        <f>HYPERLINK("http://dict.youdao.com/w/"&amp;B3647,"有道")</f>
        <v/>
      </c>
    </row>
    <row r="3648">
      <c r="B3648" s="1" t="inlineStr">
        <is>
          <t>emigration</t>
        </is>
      </c>
      <c r="C3648" s="17">
        <f>"n. 移民；移民出境；移居外国"</f>
        <v/>
      </c>
      <c r="G3648" s="18">
        <f>HYPERLINK("D:\python\英语学习\voices\"&amp;B3648&amp;"_1.mp3","BrE")</f>
        <v/>
      </c>
      <c r="H3648" s="18">
        <f>HYPERLINK("D:\python\英语学习\voices\"&amp;B3648&amp;"_2.mp3","AmE")</f>
        <v/>
      </c>
      <c r="I3648" s="18">
        <f>HYPERLINK("http://dict.youdao.com/w/"&amp;B3648,"有道")</f>
        <v/>
      </c>
    </row>
    <row customHeight="1" ht="57" r="3649">
      <c r="B3649" s="1" t="inlineStr">
        <is>
          <t>patient</t>
        </is>
      </c>
      <c r="C3649" s="17">
        <f>"adj. 有耐心的，能容忍的"&amp;CHAR(10)&amp;"n. 病人，患者；受动者，承受者"&amp;CHAR(10)&amp;"n. (Patient) （美、英、法、加）帕蒂安（人名）"</f>
        <v/>
      </c>
      <c r="E3649" t="inlineStr">
        <is>
          <t>偶尔看到会认不出来</t>
        </is>
      </c>
      <c r="G3649" s="18">
        <f>HYPERLINK("D:\python\英语学习\voices\"&amp;B3649&amp;"_1.mp3","BrE")</f>
        <v/>
      </c>
      <c r="H3649" s="18">
        <f>HYPERLINK("D:\python\英语学习\voices\"&amp;B3649&amp;"_2.mp3","AmE")</f>
        <v/>
      </c>
      <c r="I3649" s="18">
        <f>HYPERLINK("http://dict.youdao.com/w/"&amp;B3649,"有道")</f>
        <v/>
      </c>
    </row>
    <row r="3650">
      <c r="B3650" s="1" t="inlineStr">
        <is>
          <t>illusory</t>
        </is>
      </c>
      <c r="C3650" s="17">
        <f>"adj. 错觉的；幻影的；虚假的；产生幻觉的"</f>
        <v/>
      </c>
      <c r="G3650" s="18">
        <f>HYPERLINK("D:\python\英语学习\voices\"&amp;B3650&amp;"_1.mp3","BrE")</f>
        <v/>
      </c>
      <c r="H3650" s="18">
        <f>HYPERLINK("D:\python\英语学习\voices\"&amp;B3650&amp;"_2.mp3","AmE")</f>
        <v/>
      </c>
      <c r="I3650" s="18">
        <f>HYPERLINK("http://dict.youdao.com/w/"&amp;B3650,"有道")</f>
        <v/>
      </c>
    </row>
    <row customHeight="1" ht="28.5" r="3651">
      <c r="B3651" s="1" t="inlineStr">
        <is>
          <t>fungible</t>
        </is>
      </c>
      <c r="C3651" s="17">
        <f>"adj. 代替的；可取代的"&amp;CHAR(10)&amp;"n. 代替物"</f>
        <v/>
      </c>
      <c r="G3651" s="18">
        <f>HYPERLINK("D:\python\英语学习\voices\"&amp;B3651&amp;"_1.mp3","BrE")</f>
        <v/>
      </c>
      <c r="H3651" s="18">
        <f>HYPERLINK("D:\python\英语学习\voices\"&amp;B3651&amp;"_2.mp3","AmE")</f>
        <v/>
      </c>
      <c r="I3651" s="18">
        <f>HYPERLINK("http://dict.youdao.com/w/"&amp;B3651,"有道")</f>
        <v/>
      </c>
    </row>
    <row r="3652">
      <c r="B3652" s="1" t="inlineStr">
        <is>
          <t>fusty</t>
        </is>
      </c>
      <c r="C3652" s="17">
        <f>"adj. 发霉的；守旧的，老式的"</f>
        <v/>
      </c>
      <c r="G3652" s="18">
        <f>HYPERLINK("D:\python\英语学习\voices\"&amp;B3652&amp;"_1.mp3","BrE")</f>
        <v/>
      </c>
      <c r="H3652" s="18">
        <f>HYPERLINK("D:\python\英语学习\voices\"&amp;B3652&amp;"_2.mp3","AmE")</f>
        <v/>
      </c>
      <c r="I3652" s="18">
        <f>HYPERLINK("http://dict.youdao.com/w/"&amp;B3652,"有道")</f>
        <v/>
      </c>
    </row>
    <row customHeight="1" ht="42.75" r="3653">
      <c r="B3653" s="1" t="inlineStr">
        <is>
          <t>trenchant</t>
        </is>
      </c>
      <c r="C3653" s="17">
        <f>"adj. 尖刻的；锐利的；苛刻的；锋利的（名词trenchancy，副词trenchantly）"&amp;CHAR(10)&amp;"n. (Trenchant)人名；(法)特朗尚"</f>
        <v/>
      </c>
      <c r="G3653" s="18">
        <f>HYPERLINK("D:\python\英语学习\voices\"&amp;B3653&amp;"_1.mp3","BrE")</f>
        <v/>
      </c>
      <c r="H3653" s="18">
        <f>HYPERLINK("D:\python\英语学习\voices\"&amp;B3653&amp;"_2.mp3","AmE")</f>
        <v/>
      </c>
      <c r="I3653" s="18">
        <f>HYPERLINK("http://dict.youdao.com/w/"&amp;B3653,"有道")</f>
        <v/>
      </c>
    </row>
    <row customHeight="1" ht="57" r="3654">
      <c r="B3654" s="1" t="inlineStr">
        <is>
          <t>mass</t>
        </is>
      </c>
      <c r="C3654" s="17">
        <f>"n. 块，团；群众，民众；大量，众多；质量"&amp;CHAR(10)&amp;"adj. 群众的，民众的；大规模的，集中的"&amp;CHAR(10)&amp;"vi. 聚集起来，聚集"&amp;CHAR(10)&amp;"vt. 使集合"</f>
        <v/>
      </c>
      <c r="E3654" t="inlineStr">
        <is>
          <t>mass media 大众传媒</t>
        </is>
      </c>
      <c r="G3654" s="18">
        <f>HYPERLINK("D:\python\英语学习\voices\"&amp;B3654&amp;"_1.mp3","BrE")</f>
        <v/>
      </c>
      <c r="H3654" s="18">
        <f>HYPERLINK("D:\python\英语学习\voices\"&amp;B3654&amp;"_2.mp3","AmE")</f>
        <v/>
      </c>
      <c r="I3654" s="18">
        <f>HYPERLINK("http://dict.youdao.com/w/"&amp;B3654,"有道")</f>
        <v/>
      </c>
    </row>
    <row customHeight="1" ht="28.5" r="3655">
      <c r="B3655" s="1" t="inlineStr">
        <is>
          <t>serenity</t>
        </is>
      </c>
      <c r="C3655" s="17">
        <f>"n. 平静，宁静；晴朗，风和日丽"&amp;CHAR(10)&amp;"n. (Serenity)人名；(英)塞雷妮蒂"</f>
        <v/>
      </c>
      <c r="G3655" s="18">
        <f>HYPERLINK("D:\python\英语学习\voices\"&amp;B3655&amp;"_1.mp3","BrE")</f>
        <v/>
      </c>
      <c r="H3655" s="18">
        <f>HYPERLINK("D:\python\英语学习\voices\"&amp;B3655&amp;"_2.mp3","AmE")</f>
        <v/>
      </c>
      <c r="I3655" s="18">
        <f>HYPERLINK("http://dict.youdao.com/w/"&amp;B3655,"有道")</f>
        <v/>
      </c>
    </row>
    <row r="3656">
      <c r="B3656" s="1" t="inlineStr">
        <is>
          <t>pensive</t>
        </is>
      </c>
      <c r="C3656" s="17">
        <f>"adj. 沉思的，忧郁的；悲伤的，哀愁的"</f>
        <v/>
      </c>
      <c r="G3656" s="18">
        <f>HYPERLINK("D:\python\英语学习\voices\"&amp;B3656&amp;"_1.mp3","BrE")</f>
        <v/>
      </c>
      <c r="H3656" s="18">
        <f>HYPERLINK("D:\python\英语学习\voices\"&amp;B3656&amp;"_2.mp3","AmE")</f>
        <v/>
      </c>
      <c r="I3656" s="18">
        <f>HYPERLINK("http://dict.youdao.com/w/"&amp;B3656,"有道")</f>
        <v/>
      </c>
    </row>
    <row r="3657">
      <c r="A3657" t="inlineStr">
        <is>
          <t>unnecessary</t>
        </is>
      </c>
      <c r="B3657" s="1" t="inlineStr">
        <is>
          <t>sacrilegious</t>
        </is>
      </c>
      <c r="C3657" s="17">
        <f>"adj. 该受天谴的，亵渎神明的"</f>
        <v/>
      </c>
      <c r="G3657" s="18">
        <f>HYPERLINK("D:\python\英语学习\voices\"&amp;B3657&amp;"_1.mp3","BrE")</f>
        <v/>
      </c>
      <c r="H3657" s="18">
        <f>HYPERLINK("D:\python\英语学习\voices\"&amp;B3657&amp;"_2.mp3","AmE")</f>
        <v/>
      </c>
      <c r="I3657" s="18">
        <f>HYPERLINK("http://dict.youdao.com/w/"&amp;B3657,"有道")</f>
        <v/>
      </c>
    </row>
    <row r="3658">
      <c r="B3658" s="1" t="inlineStr">
        <is>
          <t>deflation</t>
        </is>
      </c>
      <c r="C3658" s="17">
        <f>"n. 通货紧缩；放气"</f>
        <v/>
      </c>
      <c r="D3658" t="inlineStr">
        <is>
          <t>inflation通货膨胀</t>
        </is>
      </c>
      <c r="G3658" s="18">
        <f>HYPERLINK("D:\python\英语学习\voices\"&amp;B3658&amp;"_1.mp3","BrE")</f>
        <v/>
      </c>
      <c r="H3658" s="18">
        <f>HYPERLINK("D:\python\英语学习\voices\"&amp;B3658&amp;"_2.mp3","AmE")</f>
        <v/>
      </c>
      <c r="I3658" s="18">
        <f>HYPERLINK("http://dict.youdao.com/w/"&amp;B3658,"有道")</f>
        <v/>
      </c>
    </row>
    <row r="3659">
      <c r="B3659" s="1" t="inlineStr">
        <is>
          <t>cajole</t>
        </is>
      </c>
      <c r="C3659" s="17">
        <f>"vt. 以甜言蜜语哄骗；勾引"</f>
        <v/>
      </c>
      <c r="G3659" s="18">
        <f>HYPERLINK("D:\python\英语学习\voices\"&amp;B3659&amp;"_1.mp3","BrE")</f>
        <v/>
      </c>
      <c r="H3659" s="18">
        <f>HYPERLINK("D:\python\英语学习\voices\"&amp;B3659&amp;"_2.mp3","AmE")</f>
        <v/>
      </c>
      <c r="I3659" s="18">
        <f>HYPERLINK("http://dict.youdao.com/w/"&amp;B3659,"有道")</f>
        <v/>
      </c>
    </row>
    <row r="3660">
      <c r="B3660" s="1" t="inlineStr">
        <is>
          <t>raconteur</t>
        </is>
      </c>
      <c r="C3660" s="17">
        <f>"n. 健谈者；善谈者；擅长讲故事的人"</f>
        <v/>
      </c>
      <c r="G3660" s="18">
        <f>HYPERLINK("D:\python\英语学习\voices\"&amp;B3660&amp;"_1.mp3","BrE")</f>
        <v/>
      </c>
      <c r="H3660" s="18">
        <f>HYPERLINK("D:\python\英语学习\voices\"&amp;B3660&amp;"_2.mp3","AmE")</f>
        <v/>
      </c>
      <c r="I3660" s="18">
        <f>HYPERLINK("http://dict.youdao.com/w/"&amp;B3660,"有道")</f>
        <v/>
      </c>
    </row>
    <row customHeight="1" ht="28.5" r="3661">
      <c r="B3661" s="1" t="inlineStr">
        <is>
          <t>recoil</t>
        </is>
      </c>
      <c r="C3661" s="17">
        <f>"vi. 畏缩；弹回；报应"&amp;CHAR(10)&amp;"n. 畏缩；弹回；反作用"</f>
        <v/>
      </c>
      <c r="G3661" s="18">
        <f>HYPERLINK("D:\python\英语学习\voices\"&amp;B3661&amp;"_1.mp3","BrE")</f>
        <v/>
      </c>
      <c r="H3661" s="18">
        <f>HYPERLINK("D:\python\英语学习\voices\"&amp;B3661&amp;"_2.mp3","AmE")</f>
        <v/>
      </c>
      <c r="I3661" s="18">
        <f>HYPERLINK("http://dict.youdao.com/w/"&amp;B3661,"有道")</f>
        <v/>
      </c>
    </row>
    <row customHeight="1" ht="28.5" r="3662">
      <c r="B3662" s="1" t="inlineStr">
        <is>
          <t>unpredictable</t>
        </is>
      </c>
      <c r="C3662" s="17">
        <f>"adj. 不可预知的；不定的；出乎意料的"&amp;CHAR(10)&amp;"n. 不可预言的事"</f>
        <v/>
      </c>
      <c r="E3662" t="inlineStr">
        <is>
          <t>可以指人善变</t>
        </is>
      </c>
      <c r="G3662" s="18">
        <f>HYPERLINK("D:\python\英语学习\voices\"&amp;B3662&amp;"_1.mp3","BrE")</f>
        <v/>
      </c>
      <c r="H3662" s="18">
        <f>HYPERLINK("D:\python\英语学习\voices\"&amp;B3662&amp;"_2.mp3","AmE")</f>
        <v/>
      </c>
      <c r="I3662" s="18">
        <f>HYPERLINK("http://dict.youdao.com/w/"&amp;B3662,"有道")</f>
        <v/>
      </c>
    </row>
    <row r="3663">
      <c r="B3663" s="1" t="inlineStr">
        <is>
          <t>nullify</t>
        </is>
      </c>
      <c r="C3663" s="17">
        <f>"vt. 使无效，作废；取消"</f>
        <v/>
      </c>
      <c r="G3663" s="18">
        <f>HYPERLINK("D:\python\英语学习\voices\"&amp;B3663&amp;"_1.mp3","BrE")</f>
        <v/>
      </c>
      <c r="H3663" s="18">
        <f>HYPERLINK("D:\python\英语学习\voices\"&amp;B3663&amp;"_2.mp3","AmE")</f>
        <v/>
      </c>
      <c r="I3663" s="18">
        <f>HYPERLINK("http://dict.youdao.com/w/"&amp;B3663,"有道")</f>
        <v/>
      </c>
    </row>
    <row r="3664">
      <c r="B3664" s="1" t="inlineStr">
        <is>
          <t>magnanimity</t>
        </is>
      </c>
      <c r="C3664" s="17">
        <f>"n. 宽宏大量；慷慨"</f>
        <v/>
      </c>
      <c r="D3664" t="inlineStr">
        <is>
          <t xml:space="preserve">mag-大 </t>
        </is>
      </c>
      <c r="G3664" s="18">
        <f>HYPERLINK("D:\python\英语学习\voices\"&amp;B3664&amp;"_1.mp3","BrE")</f>
        <v/>
      </c>
      <c r="H3664" s="18">
        <f>HYPERLINK("D:\python\英语学习\voices\"&amp;B3664&amp;"_2.mp3","AmE")</f>
        <v/>
      </c>
      <c r="I3664" s="18">
        <f>HYPERLINK("http://dict.youdao.com/w/"&amp;B3664,"有道")</f>
        <v/>
      </c>
    </row>
    <row customHeight="1" ht="28.5" r="3665">
      <c r="B3665" s="1" t="inlineStr">
        <is>
          <t>alloyed</t>
        </is>
      </c>
      <c r="C3665" s="17">
        <f>"adj. [材] 合金的；合铸的；熔合的"&amp;CHAR(10)&amp;"v. 将…铸成合金；使低劣（alloy的过去分词）"</f>
        <v/>
      </c>
      <c r="G3665" s="18">
        <f>HYPERLINK("D:\python\英语学习\voices\"&amp;B3665&amp;"_1.mp3","BrE")</f>
        <v/>
      </c>
      <c r="H3665" s="18">
        <f>HYPERLINK("D:\python\英语学习\voices\"&amp;B3665&amp;"_2.mp3","AmE")</f>
        <v/>
      </c>
      <c r="I3665" s="18">
        <f>HYPERLINK("http://dict.youdao.com/w/"&amp;B3665,"有道")</f>
        <v/>
      </c>
    </row>
    <row r="3666">
      <c r="B3666" s="1" t="inlineStr">
        <is>
          <t>unalloyed</t>
        </is>
      </c>
      <c r="C3666" s="17">
        <f>"adj. 纯粹的；[材] 非合金的"</f>
        <v/>
      </c>
      <c r="D3666" t="inlineStr">
        <is>
          <t>alloy-合金，非合金的-&gt;纯粹的</t>
        </is>
      </c>
      <c r="G3666" s="18">
        <f>HYPERLINK("D:\python\英语学习\voices\"&amp;B3666&amp;"_1.mp3","BrE")</f>
        <v/>
      </c>
      <c r="H3666" s="18">
        <f>HYPERLINK("D:\python\英语学习\voices\"&amp;B3666&amp;"_2.mp3","AmE")</f>
        <v/>
      </c>
      <c r="I3666" s="18">
        <f>HYPERLINK("http://dict.youdao.com/w/"&amp;B3666,"有道")</f>
        <v/>
      </c>
    </row>
    <row customHeight="1" ht="42.75" r="3667">
      <c r="B3667" s="1" t="inlineStr">
        <is>
          <t>soporific</t>
        </is>
      </c>
      <c r="C3667" s="17">
        <f>"adj. 催眠的，使人昏昏欲睡的；困倦的，昏昏欲睡的；枯燥的，单调乏味的"&amp;CHAR(10)&amp;"n. 催（安）眠药；使人昏睡的东西"</f>
        <v/>
      </c>
      <c r="G3667" s="18">
        <f>HYPERLINK("D:\python\英语学习\voices\"&amp;B3667&amp;"_1.mp3","BrE")</f>
        <v/>
      </c>
      <c r="H3667" s="18">
        <f>HYPERLINK("D:\python\英语学习\voices\"&amp;B3667&amp;"_2.mp3","AmE")</f>
        <v/>
      </c>
      <c r="I3667" s="18">
        <f>HYPERLINK("http://dict.youdao.com/w/"&amp;B3667,"有道")</f>
        <v/>
      </c>
    </row>
    <row r="3668">
      <c r="B3668" s="1" t="inlineStr">
        <is>
          <t>upheaval</t>
        </is>
      </c>
      <c r="C3668" s="17">
        <f>"n. 剧变；隆起；举起"</f>
        <v/>
      </c>
      <c r="G3668" s="18">
        <f>HYPERLINK("D:\python\英语学习\voices\"&amp;B3668&amp;"_1.mp3","BrE")</f>
        <v/>
      </c>
      <c r="H3668" s="18">
        <f>HYPERLINK("D:\python\英语学习\voices\"&amp;B3668&amp;"_2.mp3","AmE")</f>
        <v/>
      </c>
      <c r="I3668" s="18">
        <f>HYPERLINK("http://dict.youdao.com/w/"&amp;B3668,"有道")</f>
        <v/>
      </c>
    </row>
    <row customHeight="1" ht="28.5" r="3669">
      <c r="B3669" s="1" t="inlineStr">
        <is>
          <t>expedient</t>
        </is>
      </c>
      <c r="C3669" s="17">
        <f>"adj. 权宜的；方便的；有利的"&amp;CHAR(10)&amp;"n. 权宜之计；应急手段"</f>
        <v/>
      </c>
      <c r="G3669" s="18">
        <f>HYPERLINK("D:\python\英语学习\voices\"&amp;B3669&amp;"_1.mp3","BrE")</f>
        <v/>
      </c>
      <c r="H3669" s="18">
        <f>HYPERLINK("D:\python\英语学习\voices\"&amp;B3669&amp;"_2.mp3","AmE")</f>
        <v/>
      </c>
      <c r="I3669" s="18">
        <f>HYPERLINK("http://dict.youdao.com/w/"&amp;B3669,"有道")</f>
        <v/>
      </c>
    </row>
    <row r="3670">
      <c r="B3670" s="1" t="inlineStr">
        <is>
          <t>expeditious</t>
        </is>
      </c>
      <c r="C3670" s="17">
        <f>"adj. 迅速的；敏捷的"</f>
        <v/>
      </c>
      <c r="G3670" s="18">
        <f>HYPERLINK("D:\python\英语学习\voices\"&amp;B3670&amp;"_1.mp3","BrE")</f>
        <v/>
      </c>
      <c r="H3670" s="18">
        <f>HYPERLINK("D:\python\英语学习\voices\"&amp;B3670&amp;"_2.mp3","AmE")</f>
        <v/>
      </c>
      <c r="I3670" s="18">
        <f>HYPERLINK("http://dict.youdao.com/w/"&amp;B3670,"有道")</f>
        <v/>
      </c>
    </row>
    <row customHeight="1" ht="28.5" r="3671">
      <c r="B3671" s="1" t="inlineStr">
        <is>
          <t>oscillate</t>
        </is>
      </c>
      <c r="C3671" s="17">
        <f>"vt. 使振荡；使振动；使动摇"&amp;CHAR(10)&amp;"vi. 振荡；摆动；犹豫"</f>
        <v/>
      </c>
      <c r="G3671" s="18">
        <f>HYPERLINK("D:\python\英语学习\voices\"&amp;B3671&amp;"_1.mp3","BrE")</f>
        <v/>
      </c>
      <c r="H3671" s="18">
        <f>HYPERLINK("D:\python\英语学习\voices\"&amp;B3671&amp;"_2.mp3","AmE")</f>
        <v/>
      </c>
      <c r="I3671" s="18">
        <f>HYPERLINK("http://dict.youdao.com/w/"&amp;B3671,"有道")</f>
        <v/>
      </c>
    </row>
    <row r="3672">
      <c r="B3672" s="1" t="inlineStr">
        <is>
          <t>languishing</t>
        </is>
      </c>
      <c r="C3672" s="17">
        <f>"adj. 渴望的；含情脉脉的；渐渐衰弱的"</f>
        <v/>
      </c>
      <c r="G3672" s="18">
        <f>HYPERLINK("D:\python\英语学习\voices\"&amp;B3672&amp;"_1.mp3","BrE")</f>
        <v/>
      </c>
      <c r="H3672" s="18">
        <f>HYPERLINK("D:\python\英语学习\voices\"&amp;B3672&amp;"_2.mp3","AmE")</f>
        <v/>
      </c>
      <c r="I3672" s="18">
        <f>HYPERLINK("http://dict.youdao.com/w/"&amp;B3672,"有道")</f>
        <v/>
      </c>
    </row>
    <row customHeight="1" ht="42.75" r="3673">
      <c r="B3673" s="1" t="inlineStr">
        <is>
          <t>surprise</t>
        </is>
      </c>
      <c r="C3673" s="17">
        <f>"n. 惊奇，诧异；突然袭击"&amp;CHAR(10)&amp;"vt. 使惊奇；奇袭"&amp;CHAR(10)&amp;"adj. 令人惊讶的"</f>
        <v/>
      </c>
      <c r="G3673" s="18">
        <f>HYPERLINK("D:\python\英语学习\voices\"&amp;B3673&amp;"_1.mp3","BrE")</f>
        <v/>
      </c>
      <c r="H3673" s="18">
        <f>HYPERLINK("D:\python\英语学习\voices\"&amp;B3673&amp;"_2.mp3","AmE")</f>
        <v/>
      </c>
      <c r="I3673" s="18">
        <f>HYPERLINK("http://dict.youdao.com/w/"&amp;B3673,"有道")</f>
        <v/>
      </c>
    </row>
    <row r="3674">
      <c r="B3674" s="1" t="inlineStr">
        <is>
          <t>phenomenon</t>
        </is>
      </c>
      <c r="C3674" s="17">
        <f>"n. 现象；奇迹；杰出的人才"</f>
        <v/>
      </c>
      <c r="G3674" s="18">
        <f>HYPERLINK("D:\python\英语学习\voices\"&amp;B3674&amp;"_1.mp3","BrE")</f>
        <v/>
      </c>
      <c r="H3674" s="18">
        <f>HYPERLINK("D:\python\英语学习\voices\"&amp;B3674&amp;"_2.mp3","AmE")</f>
        <v/>
      </c>
      <c r="I3674" s="18">
        <f>HYPERLINK("http://dict.youdao.com/w/"&amp;B3674,"有道")</f>
        <v/>
      </c>
    </row>
    <row customHeight="1" ht="28.5" r="3675">
      <c r="B3675" s="1" t="inlineStr">
        <is>
          <t>rudimentary</t>
        </is>
      </c>
      <c r="C3675" s="17">
        <f>"adj. 基本的；初步的；退化的；残遗的；未发展的"</f>
        <v/>
      </c>
      <c r="D3675" t="inlineStr">
        <is>
          <t>rudi-rude原始的</t>
        </is>
      </c>
      <c r="G3675" s="18">
        <f>HYPERLINK("D:\python\英语学习\voices\"&amp;B3675&amp;"_1.mp3","BrE")</f>
        <v/>
      </c>
      <c r="H3675" s="18">
        <f>HYPERLINK("D:\python\英语学习\voices\"&amp;B3675&amp;"_2.mp3","AmE")</f>
        <v/>
      </c>
      <c r="I3675" s="18">
        <f>HYPERLINK("http://dict.youdao.com/w/"&amp;B3675,"有道")</f>
        <v/>
      </c>
    </row>
    <row customHeight="1" ht="28.5" r="3676">
      <c r="B3676" s="1" t="inlineStr">
        <is>
          <t>erudite</t>
        </is>
      </c>
      <c r="C3676" s="17">
        <f>"adj. 博学的；有学问的"&amp;CHAR(10)&amp;"n. 饱学之士"</f>
        <v/>
      </c>
      <c r="G3676" s="18">
        <f>HYPERLINK("D:\python\英语学习\voices\"&amp;B3676&amp;"_1.mp3","BrE")</f>
        <v/>
      </c>
      <c r="H3676" s="18">
        <f>HYPERLINK("D:\python\英语学习\voices\"&amp;B3676&amp;"_2.mp3","AmE")</f>
        <v/>
      </c>
      <c r="I3676" s="18">
        <f>HYPERLINK("http://dict.youdao.com/w/"&amp;B3676,"有道")</f>
        <v/>
      </c>
    </row>
    <row r="3677">
      <c r="B3677" s="1" t="inlineStr">
        <is>
          <t>plaintive</t>
        </is>
      </c>
      <c r="C3677" s="17">
        <f>"adj. 哀伤的；悲哀的"</f>
        <v/>
      </c>
      <c r="G3677" s="18">
        <f>HYPERLINK("D:\python\英语学习\voices\"&amp;B3677&amp;"_1.mp3","BrE")</f>
        <v/>
      </c>
      <c r="H3677" s="18">
        <f>HYPERLINK("D:\python\英语学习\voices\"&amp;B3677&amp;"_2.mp3","AmE")</f>
        <v/>
      </c>
      <c r="I3677" s="18">
        <f>HYPERLINK("http://dict.youdao.com/w/"&amp;B3677,"有道")</f>
        <v/>
      </c>
    </row>
    <row r="3678">
      <c r="B3678" s="1" t="inlineStr">
        <is>
          <t>incision</t>
        </is>
      </c>
      <c r="C3678" s="17">
        <f>"n. 切口；雕刻，切割；切开"</f>
        <v/>
      </c>
      <c r="G3678" s="18">
        <f>HYPERLINK("D:\python\英语学习\voices\"&amp;B3678&amp;"_1.mp3","BrE")</f>
        <v/>
      </c>
      <c r="H3678" s="18">
        <f>HYPERLINK("D:\python\英语学习\voices\"&amp;B3678&amp;"_2.mp3","AmE")</f>
        <v/>
      </c>
      <c r="I3678" s="18">
        <f>HYPERLINK("http://dict.youdao.com/w/"&amp;B3678,"有道")</f>
        <v/>
      </c>
    </row>
    <row r="3679">
      <c r="B3679" s="1" t="inlineStr">
        <is>
          <t>instinctive</t>
        </is>
      </c>
      <c r="C3679" s="17">
        <f>"adj. 本能的；直觉的；天生的"</f>
        <v/>
      </c>
      <c r="E3679" t="inlineStr">
        <is>
          <t>重音在t</t>
        </is>
      </c>
      <c r="G3679" s="18">
        <f>HYPERLINK("D:\python\英语学习\voices\"&amp;B3679&amp;"_1.mp3","BrE")</f>
        <v/>
      </c>
      <c r="H3679" s="18">
        <f>HYPERLINK("D:\python\英语学习\voices\"&amp;B3679&amp;"_2.mp3","AmE")</f>
        <v/>
      </c>
      <c r="I3679" s="18">
        <f>HYPERLINK("http://dict.youdao.com/w/"&amp;B3679,"有道")</f>
        <v/>
      </c>
    </row>
    <row customHeight="1" ht="57" r="3680">
      <c r="B3680" s="1" t="inlineStr">
        <is>
          <t>nag</t>
        </is>
      </c>
      <c r="C3680" s="17">
        <f>"n. 唠叨；老马；竞赛马"&amp;CHAR(10)&amp;"vt. 使烦恼；不断地唠叨"&amp;CHAR(10)&amp;"vi. 不断地唠叨"&amp;CHAR(10)&amp;"n. (Nag)人名；(乍)纳吉；(缅)纳；(印)纳格"</f>
        <v/>
      </c>
      <c r="G3680" s="18">
        <f>HYPERLINK("D:\python\英语学习\voices\"&amp;B3680&amp;"_1.mp3","BrE")</f>
        <v/>
      </c>
      <c r="H3680" s="18">
        <f>HYPERLINK("D:\python\英语学习\voices\"&amp;B3680&amp;"_2.mp3","AmE")</f>
        <v/>
      </c>
      <c r="I3680" s="18">
        <f>HYPERLINK("http://dict.youdao.com/w/"&amp;B3680,"有道")</f>
        <v/>
      </c>
    </row>
    <row customHeight="1" ht="28.5" r="3681">
      <c r="B3681" s="1" t="inlineStr">
        <is>
          <t>wheedle</t>
        </is>
      </c>
      <c r="C3681" s="17">
        <f>"vt. 以甜言蜜语诱惑；用甜言蜜语欺骗"&amp;CHAR(10)&amp;"vi. 用甜言蜜语哄骗"</f>
        <v/>
      </c>
      <c r="G3681" s="18">
        <f>HYPERLINK("D:\python\英语学习\voices\"&amp;B3681&amp;"_1.mp3","BrE")</f>
        <v/>
      </c>
      <c r="H3681" s="18">
        <f>HYPERLINK("D:\python\英语学习\voices\"&amp;B3681&amp;"_2.mp3","AmE")</f>
        <v/>
      </c>
      <c r="I3681" s="18">
        <f>HYPERLINK("http://dict.youdao.com/w/"&amp;B3681,"有道")</f>
        <v/>
      </c>
    </row>
    <row customHeight="1" ht="28.5" r="3682">
      <c r="B3682" s="1" t="inlineStr">
        <is>
          <t>coax</t>
        </is>
      </c>
      <c r="C3682" s="17">
        <f>"vt. 哄；哄诱；慢慢将…弄好"&amp;CHAR(10)&amp;"vi. 哄骗；劝诱"</f>
        <v/>
      </c>
      <c r="G3682" s="18">
        <f>HYPERLINK("D:\python\英语学习\voices\"&amp;B3682&amp;"_1.mp3","BrE")</f>
        <v/>
      </c>
      <c r="H3682" s="18">
        <f>HYPERLINK("D:\python\英语学习\voices\"&amp;B3682&amp;"_2.mp3","AmE")</f>
        <v/>
      </c>
      <c r="I3682" s="18">
        <f>HYPERLINK("http://dict.youdao.com/w/"&amp;B3682,"有道")</f>
        <v/>
      </c>
    </row>
    <row customHeight="1" ht="57" r="3683">
      <c r="B3683" s="1" t="inlineStr">
        <is>
          <t>covert</t>
        </is>
      </c>
      <c r="C3683" s="17">
        <f>"adj. 隐蔽的，秘密的；在丈夫保护下的"&amp;CHAR(10)&amp;"n. （动物藏身的）矮树丛；（鸟）覆羽；隐藏处"&amp;CHAR(10)&amp;"n. (Covert)（美、加）科弗特（人名）"</f>
        <v/>
      </c>
      <c r="G3683" s="18">
        <f>HYPERLINK("D:\python\英语学习\voices\"&amp;B3683&amp;"_1.mp3","BrE")</f>
        <v/>
      </c>
      <c r="H3683" s="18">
        <f>HYPERLINK("D:\python\英语学习\voices\"&amp;B3683&amp;"_2.mp3","AmE")</f>
        <v/>
      </c>
      <c r="I3683" s="18">
        <f>HYPERLINK("http://dict.youdao.com/w/"&amp;B3683,"有道")</f>
        <v/>
      </c>
    </row>
    <row r="3684">
      <c r="B3684" s="1" t="inlineStr">
        <is>
          <t>immaterial</t>
        </is>
      </c>
      <c r="C3684" s="17">
        <f>"adj. 非物质的；无形的；不重要的；非实质的"</f>
        <v/>
      </c>
      <c r="E3684" t="inlineStr">
        <is>
          <t>这说明material还有重要的关键的意思</t>
        </is>
      </c>
      <c r="G3684" s="18">
        <f>HYPERLINK("D:\python\英语学习\voices\"&amp;B3684&amp;"_1.mp3","BrE")</f>
        <v/>
      </c>
      <c r="H3684" s="18">
        <f>HYPERLINK("D:\python\英语学习\voices\"&amp;B3684&amp;"_2.mp3","AmE")</f>
        <v/>
      </c>
      <c r="I3684" s="18">
        <f>HYPERLINK("http://dict.youdao.com/w/"&amp;B3684,"有道")</f>
        <v/>
      </c>
    </row>
    <row customHeight="1" ht="85.5" r="3685">
      <c r="B3685" s="1" t="inlineStr">
        <is>
          <t>material</t>
        </is>
      </c>
      <c r="C3685" s="17">
        <f>"n. 材料；用具；（有指明特征的）人才；素材；曲目；布料"&amp;CHAR(10)&amp;"adj. 物质的；身体需要的；和推理内容有关的；重要的；（证据或事实）决定性的；客观存在的；物欲的"&amp;CHAR(10)&amp;"n. (Material) （意、美）妈特力娅丽（人名）"</f>
        <v/>
      </c>
      <c r="E3685" t="inlineStr">
        <is>
          <t>好多意思-还有重要关键的意思</t>
        </is>
      </c>
      <c r="G3685" s="18">
        <f>HYPERLINK("D:\python\英语学习\voices\"&amp;B3685&amp;"_1.mp3","BrE")</f>
        <v/>
      </c>
      <c r="H3685" s="18">
        <f>HYPERLINK("D:\python\英语学习\voices\"&amp;B3685&amp;"_2.mp3","AmE")</f>
        <v/>
      </c>
      <c r="I3685" s="18">
        <f>HYPERLINK("http://dict.youdao.com/w/"&amp;B3685,"有道")</f>
        <v/>
      </c>
    </row>
    <row r="3686">
      <c r="B3686" s="1" t="inlineStr">
        <is>
          <t>salacious</t>
        </is>
      </c>
      <c r="C3686" s="17">
        <f>"adj. 好色的；猥亵的；淫荡的"</f>
        <v/>
      </c>
      <c r="G3686" s="18">
        <f>HYPERLINK("D:\python\英语学习\voices\"&amp;B3686&amp;"_1.mp3","BrE")</f>
        <v/>
      </c>
      <c r="H3686" s="18">
        <f>HYPERLINK("D:\python\英语学习\voices\"&amp;B3686&amp;"_2.mp3","AmE")</f>
        <v/>
      </c>
      <c r="I3686" s="18">
        <f>HYPERLINK("http://dict.youdao.com/w/"&amp;B3686,"有道")</f>
        <v/>
      </c>
    </row>
    <row customHeight="1" ht="28.5" r="3687">
      <c r="B3687" s="1" t="inlineStr">
        <is>
          <t>risque</t>
        </is>
      </c>
      <c r="C3687" s="17">
        <f>"adj. 败坏风俗的；近乎淫猥的"&amp;CHAR(10)&amp;"n. (Risque)人名；(英、西)里斯克"</f>
        <v/>
      </c>
      <c r="E3687" t="inlineStr">
        <is>
          <t>que发'kay的音</t>
        </is>
      </c>
      <c r="G3687" s="18">
        <f>HYPERLINK("D:\python\英语学习\voices\"&amp;B3687&amp;"_1.mp3","BrE")</f>
        <v/>
      </c>
      <c r="H3687" s="18">
        <f>HYPERLINK("D:\python\英语学习\voices\"&amp;B3687&amp;"_2.mp3","AmE")</f>
        <v/>
      </c>
      <c r="I3687" s="18">
        <f>HYPERLINK("http://dict.youdao.com/w/"&amp;B3687,"有道")</f>
        <v/>
      </c>
    </row>
    <row customHeight="1" ht="28.5" r="3688">
      <c r="B3688" s="1" t="inlineStr">
        <is>
          <t>amenable</t>
        </is>
      </c>
      <c r="C3688" s="17">
        <f>"adj. 有责任的：顺从的，服从的；有义务的；经得起检验的"</f>
        <v/>
      </c>
      <c r="E3688" t="inlineStr">
        <is>
          <t>be amenable to 经得起检验</t>
        </is>
      </c>
      <c r="F3688">
        <f>"He told himself that his wife's stay abroad had done her no end of good and made her far more amenable to reason.
私下想，妻子的国外居留对她起了无限好的作用，使她大为通情达理了。"&amp;CHAR(10)&amp;"Mammals are more complex still, but even they might be amenable to this sort of extinction modeling.
哺乳类还要复杂，不过，即使是它们都可能适合这种灭绝建模。"</f>
        <v/>
      </c>
      <c r="G3688" s="18">
        <f>HYPERLINK("D:\python\英语学习\voices\"&amp;B3688&amp;"_1.mp3","BrE")</f>
        <v/>
      </c>
      <c r="H3688" s="18">
        <f>HYPERLINK("D:\python\英语学习\voices\"&amp;B3688&amp;"_2.mp3","AmE")</f>
        <v/>
      </c>
      <c r="I3688" s="18">
        <f>HYPERLINK("http://dict.youdao.com/w/"&amp;B3688,"有道")</f>
        <v/>
      </c>
    </row>
    <row r="3689">
      <c r="B3689" s="1" t="inlineStr">
        <is>
          <t>portend</t>
        </is>
      </c>
      <c r="C3689" s="17">
        <f>"vt. 预示；预兆；意味着"</f>
        <v/>
      </c>
      <c r="G3689" s="18">
        <f>HYPERLINK("D:\python\英语学习\voices\"&amp;B3689&amp;"_1.mp3","BrE")</f>
        <v/>
      </c>
      <c r="H3689" s="18">
        <f>HYPERLINK("D:\python\英语学习\voices\"&amp;B3689&amp;"_2.mp3","AmE")</f>
        <v/>
      </c>
      <c r="I3689" s="18">
        <f>HYPERLINK("http://dict.youdao.com/w/"&amp;B3689,"有道")</f>
        <v/>
      </c>
    </row>
    <row r="3690">
      <c r="B3690" s="1" t="inlineStr">
        <is>
          <t>conducive</t>
        </is>
      </c>
      <c r="C3690" s="17">
        <f>"adj. 有益的；有助于…的"</f>
        <v/>
      </c>
      <c r="G3690" s="18">
        <f>HYPERLINK("D:\python\英语学习\voices\"&amp;B3690&amp;"_1.mp3","BrE")</f>
        <v/>
      </c>
      <c r="H3690" s="18">
        <f>HYPERLINK("D:\python\英语学习\voices\"&amp;B3690&amp;"_2.mp3","AmE")</f>
        <v/>
      </c>
      <c r="I3690" s="18">
        <f>HYPERLINK("http://dict.youdao.com/w/"&amp;B3690,"有道")</f>
        <v/>
      </c>
    </row>
    <row r="3691">
      <c r="B3691" s="1" t="inlineStr">
        <is>
          <t>salubrious</t>
        </is>
      </c>
      <c r="C3691" s="17">
        <f>"adj. 清爽的；气候有益健康的"</f>
        <v/>
      </c>
      <c r="G3691" s="18">
        <f>HYPERLINK("D:\python\英语学习\voices\"&amp;B3691&amp;"_1.mp3","BrE")</f>
        <v/>
      </c>
      <c r="H3691" s="18">
        <f>HYPERLINK("D:\python\英语学习\voices\"&amp;B3691&amp;"_2.mp3","AmE")</f>
        <v/>
      </c>
      <c r="I3691" s="18">
        <f>HYPERLINK("http://dict.youdao.com/w/"&amp;B3691,"有道")</f>
        <v/>
      </c>
    </row>
    <row r="3692">
      <c r="B3692" s="1" t="inlineStr">
        <is>
          <t>restraint</t>
        </is>
      </c>
      <c r="C3692" s="17">
        <f>"n. 抑制，克制；约束"</f>
        <v/>
      </c>
      <c r="G3692" s="18">
        <f>HYPERLINK("D:\python\英语学习\voices\"&amp;B3692&amp;"_1.mp3","BrE")</f>
        <v/>
      </c>
      <c r="H3692" s="18">
        <f>HYPERLINK("D:\python\英语学习\voices\"&amp;B3692&amp;"_2.mp3","AmE")</f>
        <v/>
      </c>
      <c r="I3692" s="18">
        <f>HYPERLINK("http://dict.youdao.com/w/"&amp;B3692,"有道")</f>
        <v/>
      </c>
    </row>
    <row r="3693">
      <c r="A3693" t="inlineStr">
        <is>
          <t>practice</t>
        </is>
      </c>
      <c r="B3693" s="1" t="inlineStr">
        <is>
          <t>dissension</t>
        </is>
      </c>
      <c r="C3693" s="17">
        <f>"n. 纠纷；意见不合；争吵；倾轧"</f>
        <v/>
      </c>
      <c r="G3693" s="18">
        <f>HYPERLINK("D:\python\英语学习\voices\"&amp;B3693&amp;"_1.mp3","BrE")</f>
        <v/>
      </c>
      <c r="H3693" s="18">
        <f>HYPERLINK("D:\python\英语学习\voices\"&amp;B3693&amp;"_2.mp3","AmE")</f>
        <v/>
      </c>
      <c r="I3693" s="18">
        <f>HYPERLINK("http://dict.youdao.com/w/"&amp;B3693,"有道")</f>
        <v/>
      </c>
    </row>
    <row r="3694">
      <c r="B3694" s="1" t="inlineStr">
        <is>
          <t>abomination</t>
        </is>
      </c>
      <c r="C3694" s="17">
        <f>"n. 厌恶；憎恨；令人厌恶的事物"</f>
        <v/>
      </c>
      <c r="G3694" s="18">
        <f>HYPERLINK("D:\python\英语学习\voices\"&amp;B3694&amp;"_1.mp3","BrE")</f>
        <v/>
      </c>
      <c r="H3694" s="18">
        <f>HYPERLINK("D:\python\英语学习\voices\"&amp;B3694&amp;"_2.mp3","AmE")</f>
        <v/>
      </c>
      <c r="I3694" s="18">
        <f>HYPERLINK("http://dict.youdao.com/w/"&amp;B3694,"有道")</f>
        <v/>
      </c>
    </row>
    <row r="3695">
      <c r="B3695" s="1" t="inlineStr">
        <is>
          <t>originator</t>
        </is>
      </c>
      <c r="C3695" s="17">
        <f>"n. 创始人；发明者； 提出者"</f>
        <v/>
      </c>
      <c r="G3695" s="18">
        <f>HYPERLINK("D:\python\英语学习\voices\"&amp;B3695&amp;"_1.mp3","BrE")</f>
        <v/>
      </c>
      <c r="H3695" s="18">
        <f>HYPERLINK("D:\python\英语学习\voices\"&amp;B3695&amp;"_2.mp3","AmE")</f>
        <v/>
      </c>
      <c r="I3695" s="18">
        <f>HYPERLINK("http://dict.youdao.com/w/"&amp;B3695,"有道")</f>
        <v/>
      </c>
    </row>
    <row customHeight="1" ht="28.5" r="3696">
      <c r="B3696" s="1" t="inlineStr">
        <is>
          <t>critique</t>
        </is>
      </c>
      <c r="C3696" s="17">
        <f>"n. 批评；评论文章"&amp;CHAR(10)&amp;"vt. 批判；评论"</f>
        <v/>
      </c>
      <c r="G3696" s="18">
        <f>HYPERLINK("D:\python\英语学习\voices\"&amp;B3696&amp;"_1.mp3","BrE")</f>
        <v/>
      </c>
      <c r="H3696" s="18">
        <f>HYPERLINK("D:\python\英语学习\voices\"&amp;B3696&amp;"_2.mp3","AmE")</f>
        <v/>
      </c>
      <c r="I3696" s="18">
        <f>HYPERLINK("http://dict.youdao.com/w/"&amp;B3696,"有道")</f>
        <v/>
      </c>
    </row>
    <row r="3697">
      <c r="B3697" s="1" t="inlineStr">
        <is>
          <t>fecundity</t>
        </is>
      </c>
      <c r="C3697" s="17">
        <f>"n. [生物] 繁殖力；多产；肥沃"</f>
        <v/>
      </c>
      <c r="G3697" s="18">
        <f>HYPERLINK("D:\python\英语学习\voices\"&amp;B3697&amp;"_1.mp3","BrE")</f>
        <v/>
      </c>
      <c r="H3697" s="18">
        <f>HYPERLINK("D:\python\英语学习\voices\"&amp;B3697&amp;"_2.mp3","AmE")</f>
        <v/>
      </c>
      <c r="I3697" s="18">
        <f>HYPERLINK("http://dict.youdao.com/w/"&amp;B3697,"有道")</f>
        <v/>
      </c>
    </row>
    <row r="3698">
      <c r="B3698" s="1" t="inlineStr">
        <is>
          <t>abstinence</t>
        </is>
      </c>
      <c r="C3698" s="17">
        <f>"n. 节制；节欲；戒酒；禁食"</f>
        <v/>
      </c>
      <c r="G3698" s="18">
        <f>HYPERLINK("D:\python\英语学习\voices\"&amp;B3698&amp;"_1.mp3","BrE")</f>
        <v/>
      </c>
      <c r="H3698" s="18">
        <f>HYPERLINK("D:\python\英语学习\voices\"&amp;B3698&amp;"_2.mp3","AmE")</f>
        <v/>
      </c>
      <c r="I3698" s="18">
        <f>HYPERLINK("http://dict.youdao.com/w/"&amp;B3698,"有道")</f>
        <v/>
      </c>
    </row>
    <row customHeight="1" ht="28.5" r="3699">
      <c r="B3699" s="1" t="inlineStr">
        <is>
          <t>displease</t>
        </is>
      </c>
      <c r="C3699" s="17">
        <f>"vt. 使生气；触怒"&amp;CHAR(10)&amp;"vi. 使生气；使不快"</f>
        <v/>
      </c>
      <c r="G3699" s="18">
        <f>HYPERLINK("D:\python\英语学习\voices\"&amp;B3699&amp;"_1.mp3","BrE")</f>
        <v/>
      </c>
      <c r="H3699" s="18">
        <f>HYPERLINK("D:\python\英语学习\voices\"&amp;B3699&amp;"_2.mp3","AmE")</f>
        <v/>
      </c>
      <c r="I3699" s="18">
        <f>HYPERLINK("http://dict.youdao.com/w/"&amp;B3699,"有道")</f>
        <v/>
      </c>
    </row>
    <row r="3700">
      <c r="B3700" s="1" t="inlineStr">
        <is>
          <t>outlandish</t>
        </is>
      </c>
      <c r="C3700" s="17">
        <f>"adj. 古怪的；奇异的；异国风格的；偏僻的"</f>
        <v/>
      </c>
      <c r="G3700" s="18">
        <f>HYPERLINK("D:\python\英语学习\voices\"&amp;B3700&amp;"_1.mp3","BrE")</f>
        <v/>
      </c>
      <c r="H3700" s="18">
        <f>HYPERLINK("D:\python\英语学习\voices\"&amp;B3700&amp;"_2.mp3","AmE")</f>
        <v/>
      </c>
      <c r="I3700" s="18">
        <f>HYPERLINK("http://dict.youdao.com/w/"&amp;B3700,"有道")</f>
        <v/>
      </c>
    </row>
    <row r="3701">
      <c r="B3701" s="1" t="inlineStr">
        <is>
          <t>didacticism</t>
        </is>
      </c>
      <c r="C3701" s="17">
        <f>"n. 启蒙主义；教训主义；教训癖"</f>
        <v/>
      </c>
      <c r="E3701" t="inlineStr">
        <is>
          <t>注意发音-重音在s，发z的音</t>
        </is>
      </c>
      <c r="G3701" s="18">
        <f>HYPERLINK("D:\python\英语学习\voices\"&amp;B3701&amp;"_1.mp3","BrE")</f>
        <v/>
      </c>
      <c r="H3701" s="18">
        <f>HYPERLINK("D:\python\英语学习\voices\"&amp;B3701&amp;"_2.mp3","AmE")</f>
        <v/>
      </c>
      <c r="I3701" s="18">
        <f>HYPERLINK("http://dict.youdao.com/w/"&amp;B3701,"有道")</f>
        <v/>
      </c>
    </row>
    <row r="3702">
      <c r="B3702" s="1" t="inlineStr">
        <is>
          <t>prosaic</t>
        </is>
      </c>
      <c r="C3702" s="17">
        <f>"adj. 平凡的，乏味的；散文体的"</f>
        <v/>
      </c>
      <c r="E3702" t="inlineStr">
        <is>
          <t>注意发音-重音在s，发z的音</t>
        </is>
      </c>
      <c r="G3702" s="18">
        <f>HYPERLINK("D:\python\英语学习\voices\"&amp;B3702&amp;"_1.mp3","BrE")</f>
        <v/>
      </c>
      <c r="H3702" s="18">
        <f>HYPERLINK("D:\python\英语学习\voices\"&amp;B3702&amp;"_2.mp3","AmE")</f>
        <v/>
      </c>
      <c r="I3702" s="18">
        <f>HYPERLINK("http://dict.youdao.com/w/"&amp;B3702,"有道")</f>
        <v/>
      </c>
    </row>
    <row r="3703">
      <c r="B3703" s="1" t="inlineStr">
        <is>
          <t>accentuate</t>
        </is>
      </c>
      <c r="C3703" s="17">
        <f>"vt. 强调；重读"</f>
        <v/>
      </c>
      <c r="G3703" s="18">
        <f>HYPERLINK("D:\python\英语学习\voices\"&amp;B3703&amp;"_1.mp3","BrE")</f>
        <v/>
      </c>
      <c r="H3703" s="18">
        <f>HYPERLINK("D:\python\英语学习\voices\"&amp;B3703&amp;"_2.mp3","AmE")</f>
        <v/>
      </c>
      <c r="I3703" s="18">
        <f>HYPERLINK("http://dict.youdao.com/w/"&amp;B3703,"有道")</f>
        <v/>
      </c>
    </row>
    <row r="3704">
      <c r="B3704" s="1" t="inlineStr">
        <is>
          <t>mordancy</t>
        </is>
      </c>
      <c r="C3704" s="17">
        <f>"n. 尖酸；刻薄；辛辣"</f>
        <v/>
      </c>
      <c r="G3704" s="18">
        <f>HYPERLINK("D:\python\英语学习\voices\"&amp;B3704&amp;"_1.mp3","BrE")</f>
        <v/>
      </c>
      <c r="H3704" s="18">
        <f>HYPERLINK("D:\python\英语学习\voices\"&amp;B3704&amp;"_2.mp3","AmE")</f>
        <v/>
      </c>
      <c r="I3704" s="18">
        <f>HYPERLINK("http://dict.youdao.com/w/"&amp;B3704,"有道")</f>
        <v/>
      </c>
    </row>
    <row r="3705">
      <c r="B3705" s="1" t="inlineStr">
        <is>
          <t>tantamount</t>
        </is>
      </c>
      <c r="C3705" s="17">
        <f>"adj. 同等的；相当于…的"</f>
        <v/>
      </c>
      <c r="G3705" s="18">
        <f>HYPERLINK("D:\python\英语学习\voices\"&amp;B3705&amp;"_1.mp3","BrE")</f>
        <v/>
      </c>
      <c r="H3705" s="18">
        <f>HYPERLINK("D:\python\英语学习\voices\"&amp;B3705&amp;"_2.mp3","AmE")</f>
        <v/>
      </c>
      <c r="I3705" s="18">
        <f>HYPERLINK("http://dict.youdao.com/w/"&amp;B3705,"有道")</f>
        <v/>
      </c>
    </row>
    <row r="3706">
      <c r="B3706" s="1" t="inlineStr">
        <is>
          <t>exigent</t>
        </is>
      </c>
      <c r="C3706" s="17">
        <f>"adj. 迫切的；紧急的；苛求的"</f>
        <v/>
      </c>
      <c r="G3706" s="18">
        <f>HYPERLINK("D:\python\英语学习\voices\"&amp;B3706&amp;"_1.mp3","BrE")</f>
        <v/>
      </c>
      <c r="H3706" s="18">
        <f>HYPERLINK("D:\python\英语学习\voices\"&amp;B3706&amp;"_2.mp3","AmE")</f>
        <v/>
      </c>
      <c r="I3706" s="18">
        <f>HYPERLINK("http://dict.youdao.com/w/"&amp;B3706,"有道")</f>
        <v/>
      </c>
    </row>
    <row r="3707">
      <c r="B3707" s="1" t="inlineStr">
        <is>
          <t>anchorite</t>
        </is>
      </c>
      <c r="C3707" s="17">
        <f>"n. 隐士"</f>
        <v/>
      </c>
      <c r="G3707" s="18">
        <f>HYPERLINK("D:\python\英语学习\voices\"&amp;B3707&amp;"_1.mp3","BrE")</f>
        <v/>
      </c>
      <c r="H3707" s="18">
        <f>HYPERLINK("D:\python\英语学习\voices\"&amp;B3707&amp;"_2.mp3","AmE")</f>
        <v/>
      </c>
      <c r="I3707" s="18">
        <f>HYPERLINK("http://dict.youdao.com/w/"&amp;B3707,"有道")</f>
        <v/>
      </c>
    </row>
    <row r="3708">
      <c r="B3708" s="1" t="inlineStr">
        <is>
          <t>acolyte</t>
        </is>
      </c>
      <c r="C3708" s="17">
        <f>"n. 侍僧；助手（指教士的）"</f>
        <v/>
      </c>
      <c r="G3708" s="18">
        <f>HYPERLINK("D:\python\英语学习\voices\"&amp;B3708&amp;"_1.mp3","BrE")</f>
        <v/>
      </c>
      <c r="H3708" s="18">
        <f>HYPERLINK("D:\python\英语学习\voices\"&amp;B3708&amp;"_2.mp3","AmE")</f>
        <v/>
      </c>
      <c r="I3708" s="18">
        <f>HYPERLINK("http://dict.youdao.com/w/"&amp;B3708,"有道")</f>
        <v/>
      </c>
    </row>
    <row r="3709">
      <c r="B3709" s="1" t="inlineStr">
        <is>
          <t>hermit</t>
        </is>
      </c>
      <c r="C3709" s="17">
        <f>"n. （尤指宗教原因的）隐士，隐居者；蜂鸟"</f>
        <v/>
      </c>
      <c r="G3709" s="18">
        <f>HYPERLINK("D:\python\英语学习\voices\"&amp;B3709&amp;"_1.mp3","BrE")</f>
        <v/>
      </c>
      <c r="H3709" s="18">
        <f>HYPERLINK("D:\python\英语学习\voices\"&amp;B3709&amp;"_2.mp3","AmE")</f>
        <v/>
      </c>
      <c r="I3709" s="18">
        <f>HYPERLINK("http://dict.youdao.com/w/"&amp;B3709,"有道")</f>
        <v/>
      </c>
    </row>
    <row r="3710">
      <c r="B3710" s="1" t="inlineStr">
        <is>
          <t>copious</t>
        </is>
      </c>
      <c r="C3710" s="17">
        <f>"adj. 丰富的；很多的；多产的"</f>
        <v/>
      </c>
      <c r="G3710" s="18">
        <f>HYPERLINK("D:\python\英语学习\voices\"&amp;B3710&amp;"_1.mp3","BrE")</f>
        <v/>
      </c>
      <c r="H3710" s="18">
        <f>HYPERLINK("D:\python\英语学习\voices\"&amp;B3710&amp;"_2.mp3","AmE")</f>
        <v/>
      </c>
      <c r="I3710" s="18">
        <f>HYPERLINK("http://dict.youdao.com/w/"&amp;B3710,"有道")</f>
        <v/>
      </c>
    </row>
    <row r="3711">
      <c r="A3711" t="inlineStr">
        <is>
          <t>practice</t>
        </is>
      </c>
      <c r="B3711" s="1" t="inlineStr">
        <is>
          <t>efficacy</t>
        </is>
      </c>
      <c r="C3711" s="17">
        <f>"n. 功效，效力"</f>
        <v/>
      </c>
      <c r="G3711" s="18">
        <f>HYPERLINK("D:\python\英语学习\voices\"&amp;B3711&amp;"_1.mp3","BrE")</f>
        <v/>
      </c>
      <c r="H3711" s="18">
        <f>HYPERLINK("D:\python\英语学习\voices\"&amp;B3711&amp;"_2.mp3","AmE")</f>
        <v/>
      </c>
      <c r="I3711" s="18">
        <f>HYPERLINK("http://dict.youdao.com/w/"&amp;B3711,"有道")</f>
        <v/>
      </c>
    </row>
    <row r="3712">
      <c r="B3712" s="1" t="inlineStr">
        <is>
          <t>temptation</t>
        </is>
      </c>
      <c r="C3712" s="17">
        <f>"n. 引诱；诱惑物"</f>
        <v/>
      </c>
      <c r="G3712" s="18">
        <f>HYPERLINK("D:\python\英语学习\voices\"&amp;B3712&amp;"_1.mp3","BrE")</f>
        <v/>
      </c>
      <c r="H3712" s="18">
        <f>HYPERLINK("D:\python\英语学习\voices\"&amp;B3712&amp;"_2.mp3","AmE")</f>
        <v/>
      </c>
      <c r="I3712" s="18">
        <f>HYPERLINK("http://dict.youdao.com/w/"&amp;B3712,"有道")</f>
        <v/>
      </c>
    </row>
    <row r="3713">
      <c r="B3713" s="1" t="inlineStr">
        <is>
          <t>embarrassment</t>
        </is>
      </c>
      <c r="C3713" s="17">
        <f>"n. 窘迫，难堪；使人为难的人或事物；拮据"</f>
        <v/>
      </c>
      <c r="G3713" s="18">
        <f>HYPERLINK("D:\python\英语学习\voices\"&amp;B3713&amp;"_1.mp3","BrE")</f>
        <v/>
      </c>
      <c r="H3713" s="18">
        <f>HYPERLINK("D:\python\英语学习\voices\"&amp;B3713&amp;"_2.mp3","AmE")</f>
        <v/>
      </c>
      <c r="I3713" s="18">
        <f>HYPERLINK("http://dict.youdao.com/w/"&amp;B3713,"有道")</f>
        <v/>
      </c>
    </row>
    <row r="3714">
      <c r="B3714" s="1" t="inlineStr">
        <is>
          <t>gelatine</t>
        </is>
      </c>
      <c r="C3714" s="17">
        <f>"n. 胶质；果子冻；白明胶"</f>
        <v/>
      </c>
      <c r="G3714" s="18">
        <f>HYPERLINK("D:\python\英语学习\voices\"&amp;B3714&amp;"_1.mp3","BrE")</f>
        <v/>
      </c>
      <c r="H3714" s="18">
        <f>HYPERLINK("D:\python\英语学习\voices\"&amp;B3714&amp;"_2.mp3","AmE")</f>
        <v/>
      </c>
      <c r="I3714" s="18">
        <f>HYPERLINK("http://dict.youdao.com/w/"&amp;B3714,"有道")</f>
        <v/>
      </c>
    </row>
    <row r="3715">
      <c r="B3715" s="1" t="inlineStr">
        <is>
          <t>insatiable</t>
        </is>
      </c>
      <c r="C3715" s="17">
        <f>"adj. 贪得无厌的；不知足的"</f>
        <v/>
      </c>
      <c r="G3715" s="18">
        <f>HYPERLINK("D:\python\英语学习\voices\"&amp;B3715&amp;"_1.mp3","BrE")</f>
        <v/>
      </c>
      <c r="H3715" s="18">
        <f>HYPERLINK("D:\python\英语学习\voices\"&amp;B3715&amp;"_2.mp3","AmE")</f>
        <v/>
      </c>
      <c r="I3715" s="18">
        <f>HYPERLINK("http://dict.youdao.com/w/"&amp;B3715,"有道")</f>
        <v/>
      </c>
    </row>
    <row customHeight="1" ht="57" r="3716">
      <c r="B3716" s="1" t="inlineStr">
        <is>
          <t>verse</t>
        </is>
      </c>
      <c r="C3716" s="17">
        <f>"n. 诗，诗篇；韵文；诗节"&amp;CHAR(10)&amp;"vi. 作诗"&amp;CHAR(10)&amp;"vt. 使熟练，使精通"&amp;CHAR(10)&amp;"n. (Verse)人名；(德)费尔泽"</f>
        <v/>
      </c>
      <c r="G3716" s="18">
        <f>HYPERLINK("D:\python\英语学习\voices\"&amp;B3716&amp;"_1.mp3","BrE")</f>
        <v/>
      </c>
      <c r="H3716" s="18">
        <f>HYPERLINK("D:\python\英语学习\voices\"&amp;B3716&amp;"_2.mp3","AmE")</f>
        <v/>
      </c>
      <c r="I3716" s="18">
        <f>HYPERLINK("http://dict.youdao.com/w/"&amp;B3716,"有道")</f>
        <v/>
      </c>
    </row>
    <row customHeight="1" ht="28.5" r="3717">
      <c r="B3717" s="1" t="inlineStr">
        <is>
          <t>guarantee</t>
        </is>
      </c>
      <c r="C3717" s="17">
        <f>"n. 保证；担保；保证人；保证书；抵押品"&amp;CHAR(10)&amp;"vt. 保证；担保"</f>
        <v/>
      </c>
      <c r="G3717" s="18">
        <f>HYPERLINK("D:\python\英语学习\voices\"&amp;B3717&amp;"_1.mp3","BrE")</f>
        <v/>
      </c>
      <c r="H3717" s="18">
        <f>HYPERLINK("D:\python\英语学习\voices\"&amp;B3717&amp;"_2.mp3","AmE")</f>
        <v/>
      </c>
      <c r="I3717" s="18">
        <f>HYPERLINK("http://dict.youdao.com/w/"&amp;B3717,"有道")</f>
        <v/>
      </c>
    </row>
    <row r="3718">
      <c r="B3718" s="1" t="inlineStr">
        <is>
          <t>valid</t>
        </is>
      </c>
      <c r="C3718" s="17">
        <f>"adj. 有效的；有根据的；合法的；正当的"</f>
        <v/>
      </c>
      <c r="E3718" t="inlineStr">
        <is>
          <t>注意发音-ae</t>
        </is>
      </c>
      <c r="G3718" s="18">
        <f>HYPERLINK("D:\python\英语学习\voices\"&amp;B3718&amp;"_1.mp3","BrE")</f>
        <v/>
      </c>
      <c r="H3718" s="18">
        <f>HYPERLINK("D:\python\英语学习\voices\"&amp;B3718&amp;"_2.mp3","AmE")</f>
        <v/>
      </c>
      <c r="I3718" s="18">
        <f>HYPERLINK("http://dict.youdao.com/w/"&amp;B3718,"有道")</f>
        <v/>
      </c>
    </row>
    <row r="3719">
      <c r="A3719" t="inlineStr">
        <is>
          <t>unnecessary</t>
        </is>
      </c>
      <c r="B3719" s="1" t="inlineStr">
        <is>
          <t>turbine</t>
        </is>
      </c>
      <c r="C3719" s="17">
        <f>"n. [动力] 涡轮；[动力] 涡轮机"</f>
        <v/>
      </c>
      <c r="G3719" s="18">
        <f>HYPERLINK("D:\python\英语学习\voices\"&amp;B3719&amp;"_1.mp3","BrE")</f>
        <v/>
      </c>
      <c r="H3719" s="18">
        <f>HYPERLINK("D:\python\英语学习\voices\"&amp;B3719&amp;"_2.mp3","AmE")</f>
        <v/>
      </c>
      <c r="I3719" s="18">
        <f>HYPERLINK("http://dict.youdao.com/w/"&amp;B3719,"有道")</f>
        <v/>
      </c>
    </row>
    <row r="3720">
      <c r="B3720" s="1" t="inlineStr">
        <is>
          <t>invulnerable</t>
        </is>
      </c>
      <c r="C3720" s="17">
        <f>"adj. 无懈可击的；不会受伤害的"</f>
        <v/>
      </c>
      <c r="G3720" s="18">
        <f>HYPERLINK("D:\python\英语学习\voices\"&amp;B3720&amp;"_1.mp3","BrE")</f>
        <v/>
      </c>
      <c r="H3720" s="18">
        <f>HYPERLINK("D:\python\英语学习\voices\"&amp;B3720&amp;"_2.mp3","AmE")</f>
        <v/>
      </c>
      <c r="I3720" s="18">
        <f>HYPERLINK("http://dict.youdao.com/w/"&amp;B3720,"有道")</f>
        <v/>
      </c>
    </row>
    <row r="3721">
      <c r="B3721" s="1" t="inlineStr">
        <is>
          <t>indefinitely</t>
        </is>
      </c>
      <c r="C3721" s="17">
        <f>"adv. 不确定地，无限期地；模糊地，不明确地"</f>
        <v/>
      </c>
      <c r="G3721" s="18">
        <f>HYPERLINK("D:\python\英语学习\voices\"&amp;B3721&amp;"_1.mp3","BrE")</f>
        <v/>
      </c>
      <c r="H3721" s="18">
        <f>HYPERLINK("D:\python\英语学习\voices\"&amp;B3721&amp;"_2.mp3","AmE")</f>
        <v/>
      </c>
      <c r="I3721" s="18">
        <f>HYPERLINK("http://dict.youdao.com/w/"&amp;B3721,"有道")</f>
        <v/>
      </c>
    </row>
    <row customHeight="1" ht="28.5" r="3722">
      <c r="B3722" s="1" t="inlineStr">
        <is>
          <t>homogeneous</t>
        </is>
      </c>
      <c r="C3722" s="17">
        <f>"adj. 均匀的；[数] 齐次的；同种的；同类的，同质的"</f>
        <v/>
      </c>
      <c r="G3722" s="18">
        <f>HYPERLINK("D:\python\英语学习\voices\"&amp;B3722&amp;"_1.mp3","BrE")</f>
        <v/>
      </c>
      <c r="H3722" s="18">
        <f>HYPERLINK("D:\python\英语学习\voices\"&amp;B3722&amp;"_2.mp3","AmE")</f>
        <v/>
      </c>
      <c r="I3722" s="18">
        <f>HYPERLINK("http://dict.youdao.com/w/"&amp;B3722,"有道")</f>
        <v/>
      </c>
    </row>
    <row r="3723">
      <c r="B3723" s="1" t="inlineStr">
        <is>
          <t>contemporarily</t>
        </is>
      </c>
      <c r="C3723" s="17">
        <f>"adv. 当今；时下；眼前"</f>
        <v/>
      </c>
      <c r="G3723" s="18">
        <f>HYPERLINK("D:\python\英语学习\voices\"&amp;B3723&amp;"_1.mp3","BrE")</f>
        <v/>
      </c>
      <c r="H3723" s="18">
        <f>HYPERLINK("D:\python\英语学习\voices\"&amp;B3723&amp;"_2.mp3","AmE")</f>
        <v/>
      </c>
      <c r="I3723" s="18">
        <f>HYPERLINK("http://dict.youdao.com/w/"&amp;B3723,"有道")</f>
        <v/>
      </c>
    </row>
    <row customHeight="1" ht="28.5" r="3724">
      <c r="B3724" s="1" t="inlineStr">
        <is>
          <t>contemporary</t>
        </is>
      </c>
      <c r="C3724" s="17">
        <f>"adj. 发生（属）于同时期的；当代的"&amp;CHAR(10)&amp;"n. 同代人，同龄人；同时期的东西"</f>
        <v/>
      </c>
      <c r="G3724" s="18">
        <f>HYPERLINK("D:\python\英语学习\voices\"&amp;B3724&amp;"_1.mp3","BrE")</f>
        <v/>
      </c>
      <c r="H3724" s="18">
        <f>HYPERLINK("D:\python\英语学习\voices\"&amp;B3724&amp;"_2.mp3","AmE")</f>
        <v/>
      </c>
      <c r="I3724" s="18">
        <f>HYPERLINK("http://dict.youdao.com/w/"&amp;B3724,"有道")</f>
        <v/>
      </c>
    </row>
    <row customHeight="1" ht="42.75" r="3725">
      <c r="B3725" s="1" t="inlineStr">
        <is>
          <t>hetero</t>
        </is>
      </c>
      <c r="C3725" s="17">
        <f>"adj. （人）异性恋的；涉及异性恋的；异性间的"&amp;CHAR(10)&amp;"n. 异性恋者"</f>
        <v/>
      </c>
      <c r="G3725" s="18">
        <f>HYPERLINK("D:\python\英语学习\voices\"&amp;B3725&amp;"_1.mp3","BrE")</f>
        <v/>
      </c>
      <c r="H3725" s="18">
        <f>HYPERLINK("D:\python\英语学习\voices\"&amp;B3725&amp;"_2.mp3","AmE")</f>
        <v/>
      </c>
      <c r="I3725" s="18">
        <f>HYPERLINK("http://dict.youdao.com/w/"&amp;B3725,"有道")</f>
        <v/>
      </c>
    </row>
    <row customHeight="1" ht="42.75" r="3726">
      <c r="B3726" s="1" t="inlineStr">
        <is>
          <t>heterogeneous</t>
        </is>
      </c>
      <c r="C3726" s="17">
        <f>"adj. 由很多种类组成的，混杂的；各种各样的；（化学）不均一的，多相的；（数学）不纯一的，参差的"</f>
        <v/>
      </c>
      <c r="G3726" s="18">
        <f>HYPERLINK("D:\python\英语学习\voices\"&amp;B3726&amp;"_1.mp3","BrE")</f>
        <v/>
      </c>
      <c r="H3726" s="18">
        <f>HYPERLINK("D:\python\英语学习\voices\"&amp;B3726&amp;"_2.mp3","AmE")</f>
        <v/>
      </c>
      <c r="I3726" s="18">
        <f>HYPERLINK("http://dict.youdao.com/w/"&amp;B3726,"有道")</f>
        <v/>
      </c>
    </row>
    <row customHeight="1" ht="28.5" r="3727">
      <c r="B3727" s="1" t="inlineStr">
        <is>
          <t>heterosexual</t>
        </is>
      </c>
      <c r="C3727" s="17">
        <f>"adj. 异性的；异性恋的"&amp;CHAR(10)&amp;"n. 异性恋的人"</f>
        <v/>
      </c>
      <c r="G3727" s="18">
        <f>HYPERLINK("D:\python\英语学习\voices\"&amp;B3727&amp;"_1.mp3","BrE")</f>
        <v/>
      </c>
      <c r="H3727" s="18">
        <f>HYPERLINK("D:\python\英语学习\voices\"&amp;B3727&amp;"_2.mp3","AmE")</f>
        <v/>
      </c>
      <c r="I3727" s="18">
        <f>HYPERLINK("http://dict.youdao.com/w/"&amp;B3727,"有道")</f>
        <v/>
      </c>
    </row>
    <row r="3728">
      <c r="A3728" t="inlineStr">
        <is>
          <t>unnecessary</t>
        </is>
      </c>
      <c r="B3728" s="1" t="inlineStr">
        <is>
          <t>heterogenous</t>
        </is>
      </c>
      <c r="C3728" s="17">
        <f>"adj. 异质的；[生物] 异源的；异种的"</f>
        <v/>
      </c>
      <c r="G3728" s="18">
        <f>HYPERLINK("D:\python\英语学习\voices\"&amp;B3728&amp;"_1.mp3","BrE")</f>
        <v/>
      </c>
      <c r="H3728" s="18">
        <f>HYPERLINK("D:\python\英语学习\voices\"&amp;B3728&amp;"_2.mp3","AmE")</f>
        <v/>
      </c>
      <c r="I3728" s="18">
        <f>HYPERLINK("http://dict.youdao.com/w/"&amp;B3728,"有道")</f>
        <v/>
      </c>
    </row>
    <row r="3729">
      <c r="B3729" s="1" t="inlineStr">
        <is>
          <t>heterodox</t>
        </is>
      </c>
      <c r="C3729" s="17">
        <f>"adj. 异端的；非正统的"</f>
        <v/>
      </c>
      <c r="G3729" s="18">
        <f>HYPERLINK("D:\python\英语学习\voices\"&amp;B3729&amp;"_1.mp3","BrE")</f>
        <v/>
      </c>
      <c r="H3729" s="18">
        <f>HYPERLINK("D:\python\英语学习\voices\"&amp;B3729&amp;"_2.mp3","AmE")</f>
        <v/>
      </c>
      <c r="I3729" s="18">
        <f>HYPERLINK("http://dict.youdao.com/w/"&amp;B3729,"有道")</f>
        <v/>
      </c>
    </row>
    <row customHeight="1" ht="28.5" r="3730">
      <c r="B3730" s="1" t="inlineStr">
        <is>
          <t>constitution</t>
        </is>
      </c>
      <c r="C3730" s="17">
        <f>"n. 宪法；体制；章程；构造；建立，组成；体格"</f>
        <v/>
      </c>
      <c r="G3730" s="18">
        <f>HYPERLINK("D:\python\英语学习\voices\"&amp;B3730&amp;"_1.mp3","BrE")</f>
        <v/>
      </c>
      <c r="H3730" s="18">
        <f>HYPERLINK("D:\python\英语学习\voices\"&amp;B3730&amp;"_2.mp3","AmE")</f>
        <v/>
      </c>
      <c r="I3730" s="18">
        <f>HYPERLINK("http://dict.youdao.com/w/"&amp;B3730,"有道")</f>
        <v/>
      </c>
    </row>
    <row r="3731">
      <c r="B3731" s="1" t="inlineStr">
        <is>
          <t>transition</t>
        </is>
      </c>
      <c r="C3731" s="17">
        <f>"n. 过渡；转变；[分子生物] 转换；变调"</f>
        <v/>
      </c>
      <c r="G3731" s="18">
        <f>HYPERLINK("D:\python\英语学习\voices\"&amp;B3731&amp;"_1.mp3","BrE")</f>
        <v/>
      </c>
      <c r="H3731" s="18">
        <f>HYPERLINK("D:\python\英语学习\voices\"&amp;B3731&amp;"_2.mp3","AmE")</f>
        <v/>
      </c>
      <c r="I3731" s="18">
        <f>HYPERLINK("http://dict.youdao.com/w/"&amp;B3731,"有道")</f>
        <v/>
      </c>
    </row>
    <row r="3732">
      <c r="B3732" s="1" t="inlineStr">
        <is>
          <t>condemnation</t>
        </is>
      </c>
      <c r="C3732" s="17">
        <f>"n. 谴责；定罪；非难的理由；征用"</f>
        <v/>
      </c>
      <c r="G3732" s="18">
        <f>HYPERLINK("D:\python\英语学习\voices\"&amp;B3732&amp;"_1.mp3","BrE")</f>
        <v/>
      </c>
      <c r="H3732" s="18">
        <f>HYPERLINK("D:\python\英语学习\voices\"&amp;B3732&amp;"_2.mp3","AmE")</f>
        <v/>
      </c>
      <c r="I3732" s="18">
        <f>HYPERLINK("http://dict.youdao.com/w/"&amp;B3732,"有道")</f>
        <v/>
      </c>
    </row>
    <row r="3733">
      <c r="B3733" s="1" t="inlineStr">
        <is>
          <t>subsidy</t>
        </is>
      </c>
      <c r="C3733" s="17">
        <f>"n. 补贴；津贴；补助金"</f>
        <v/>
      </c>
      <c r="G3733" s="18">
        <f>HYPERLINK("D:\python\英语学习\voices\"&amp;B3733&amp;"_1.mp3","BrE")</f>
        <v/>
      </c>
      <c r="H3733" s="18">
        <f>HYPERLINK("D:\python\英语学习\voices\"&amp;B3733&amp;"_2.mp3","AmE")</f>
        <v/>
      </c>
      <c r="I3733" s="18">
        <f>HYPERLINK("http://dict.youdao.com/w/"&amp;B3733,"有道")</f>
        <v/>
      </c>
    </row>
    <row r="3734">
      <c r="B3734" s="1" t="inlineStr">
        <is>
          <t>mechanism</t>
        </is>
      </c>
      <c r="C3734" s="17">
        <f>"n. 机制；原理，途径；进程；机械装置；技巧"</f>
        <v/>
      </c>
      <c r="E3734" t="inlineStr">
        <is>
          <t>注意拼写-machine-mechanism</t>
        </is>
      </c>
      <c r="G3734" s="18">
        <f>HYPERLINK("D:\python\英语学习\voices\"&amp;B3734&amp;"_1.mp3","BrE")</f>
        <v/>
      </c>
      <c r="H3734" s="18">
        <f>HYPERLINK("D:\python\英语学习\voices\"&amp;B3734&amp;"_2.mp3","AmE")</f>
        <v/>
      </c>
      <c r="I3734" s="18">
        <f>HYPERLINK("http://dict.youdao.com/w/"&amp;B3734,"有道")</f>
        <v/>
      </c>
    </row>
    <row r="3735">
      <c r="B3735" s="1" t="inlineStr">
        <is>
          <t>appliance</t>
        </is>
      </c>
      <c r="C3735" s="17">
        <f>"n. 器具；器械；装置；应用"</f>
        <v/>
      </c>
      <c r="G3735" s="18">
        <f>HYPERLINK("D:\python\英语学习\voices\"&amp;B3735&amp;"_1.mp3","BrE")</f>
        <v/>
      </c>
      <c r="H3735" s="18">
        <f>HYPERLINK("D:\python\英语学习\voices\"&amp;B3735&amp;"_2.mp3","AmE")</f>
        <v/>
      </c>
      <c r="I3735" s="18">
        <f>HYPERLINK("http://dict.youdao.com/w/"&amp;B3735,"有道")</f>
        <v/>
      </c>
    </row>
    <row customHeight="1" ht="42.75" r="3736">
      <c r="B3736" s="1" t="inlineStr">
        <is>
          <t>dissipated</t>
        </is>
      </c>
      <c r="C3736" s="17">
        <f>"adj. 消散的；沉迷于酒色的；闲游浪荡的；放荡的"&amp;CHAR(10)&amp;"vt. 消散；浪费（dissipate的过去式）"</f>
        <v/>
      </c>
      <c r="G3736" s="18">
        <f>HYPERLINK("D:\python\英语学习\voices\"&amp;B3736&amp;"_1.mp3","BrE")</f>
        <v/>
      </c>
      <c r="H3736" s="18">
        <f>HYPERLINK("D:\python\英语学习\voices\"&amp;B3736&amp;"_2.mp3","AmE")</f>
        <v/>
      </c>
      <c r="I3736" s="18">
        <f>HYPERLINK("http://dict.youdao.com/w/"&amp;B3736,"有道")</f>
        <v/>
      </c>
    </row>
    <row customHeight="1" ht="42.75" r="3737">
      <c r="B3737" s="1" t="inlineStr">
        <is>
          <t>drained</t>
        </is>
      </c>
      <c r="C3737" s="17">
        <f>"v. （使）流干， （使）逐渐流走( drain的过去式和过去分词 )；喝光，喝干；使（精力、金钱等）耗尽"</f>
        <v/>
      </c>
      <c r="E3737" t="inlineStr">
        <is>
          <t>筋疲力尽的</t>
        </is>
      </c>
      <c r="G3737" s="18">
        <f>HYPERLINK("D:\python\英语学习\voices\"&amp;B3737&amp;"_1.mp3","BrE")</f>
        <v/>
      </c>
      <c r="H3737" s="18">
        <f>HYPERLINK("D:\python\英语学习\voices\"&amp;B3737&amp;"_2.mp3","AmE")</f>
        <v/>
      </c>
      <c r="I3737" s="18">
        <f>HYPERLINK("http://dict.youdao.com/w/"&amp;B3737,"有道")</f>
        <v/>
      </c>
    </row>
    <row r="3738">
      <c r="B3738" s="1" t="inlineStr">
        <is>
          <t>percentile</t>
        </is>
      </c>
      <c r="C3738" s="17">
        <f>"n. 百分位，百分位数"</f>
        <v/>
      </c>
      <c r="G3738" s="18">
        <f>HYPERLINK("D:\python\英语学习\voices\"&amp;B3738&amp;"_1.mp3","BrE")</f>
        <v/>
      </c>
      <c r="H3738" s="18">
        <f>HYPERLINK("D:\python\英语学习\voices\"&amp;B3738&amp;"_2.mp3","AmE")</f>
        <v/>
      </c>
      <c r="I3738" s="18">
        <f>HYPERLINK("http://dict.youdao.com/w/"&amp;B3738,"有道")</f>
        <v/>
      </c>
    </row>
    <row r="3739">
      <c r="B3739" s="1" t="inlineStr">
        <is>
          <t>punctuation</t>
        </is>
      </c>
      <c r="C3739" s="17">
        <f>"n. 标点；标点符号"</f>
        <v/>
      </c>
      <c r="G3739" s="18">
        <f>HYPERLINK("D:\python\英语学习\voices\"&amp;B3739&amp;"_1.mp3","BrE")</f>
        <v/>
      </c>
      <c r="H3739" s="18">
        <f>HYPERLINK("D:\python\英语学习\voices\"&amp;B3739&amp;"_2.mp3","AmE")</f>
        <v/>
      </c>
      <c r="I3739" s="18">
        <f>HYPERLINK("http://dict.youdao.com/w/"&amp;B3739,"有道")</f>
        <v/>
      </c>
    </row>
    <row r="3740">
      <c r="B3740" s="1" t="inlineStr">
        <is>
          <t>altruistic</t>
        </is>
      </c>
      <c r="C3740" s="17">
        <f>"adj. 利他的；无私心的"</f>
        <v/>
      </c>
      <c r="G3740" s="18">
        <f>HYPERLINK("D:\python\英语学习\voices\"&amp;B3740&amp;"_1.mp3","BrE")</f>
        <v/>
      </c>
      <c r="H3740" s="18">
        <f>HYPERLINK("D:\python\英语学习\voices\"&amp;B3740&amp;"_2.mp3","AmE")</f>
        <v/>
      </c>
      <c r="I3740" s="18">
        <f>HYPERLINK("http://dict.youdao.com/w/"&amp;B3740,"有道")</f>
        <v/>
      </c>
    </row>
    <row customHeight="1" ht="28.5" r="3741">
      <c r="B3741" s="1" t="inlineStr">
        <is>
          <t>truncate</t>
        </is>
      </c>
      <c r="C3741" s="17">
        <f>"v. 截断，删节；把……截成平面"&amp;CHAR(10)&amp;"adj. （叶、羽毛等）截形的；截短的"</f>
        <v/>
      </c>
      <c r="G3741" s="18">
        <f>HYPERLINK("D:\python\英语学习\voices\"&amp;B3741&amp;"_1.mp3","BrE")</f>
        <v/>
      </c>
      <c r="H3741" s="18">
        <f>HYPERLINK("D:\python\英语学习\voices\"&amp;B3741&amp;"_2.mp3","AmE")</f>
        <v/>
      </c>
      <c r="I3741" s="18">
        <f>HYPERLINK("http://dict.youdao.com/w/"&amp;B3741,"有道")</f>
        <v/>
      </c>
    </row>
    <row r="3742">
      <c r="B3742" s="1" t="inlineStr">
        <is>
          <t>likewise</t>
        </is>
      </c>
      <c r="C3742" s="17">
        <f>"adv. 同样地；也"</f>
        <v/>
      </c>
      <c r="G3742" s="18">
        <f>HYPERLINK("D:\python\英语学习\voices\"&amp;B3742&amp;"_1.mp3","BrE")</f>
        <v/>
      </c>
      <c r="H3742" s="18">
        <f>HYPERLINK("D:\python\英语学习\voices\"&amp;B3742&amp;"_2.mp3","AmE")</f>
        <v/>
      </c>
      <c r="I3742" s="18">
        <f>HYPERLINK("http://dict.youdao.com/w/"&amp;B3742,"有道")</f>
        <v/>
      </c>
    </row>
    <row customHeight="1" ht="28.5" r="3743">
      <c r="B3743" s="1" t="inlineStr">
        <is>
          <t>slantwise</t>
        </is>
      </c>
      <c r="C3743" s="17">
        <f>"adj. 倾斜的，斜向的"&amp;CHAR(10)&amp;"adv. 倾斜地"</f>
        <v/>
      </c>
      <c r="G3743" s="18">
        <f>HYPERLINK("D:\python\英语学习\voices\"&amp;B3743&amp;"_1.mp3","BrE")</f>
        <v/>
      </c>
      <c r="H3743" s="18">
        <f>HYPERLINK("D:\python\英语学习\voices\"&amp;B3743&amp;"_2.mp3","AmE")</f>
        <v/>
      </c>
      <c r="I3743" s="18">
        <f>HYPERLINK("http://dict.youdao.com/w/"&amp;B3743,"有道")</f>
        <v/>
      </c>
    </row>
    <row customHeight="1" ht="128.25" r="3744">
      <c r="B3744" s="1" t="inlineStr">
        <is>
          <t>bound</t>
        </is>
      </c>
      <c r="C3744" s="17">
        <f>"adj. 一定会；很可能会；必定的；受约束的，有义务的；因……受阻；被……所限制的；限制在某个场所的；正旅行去，准备去；准备就绪的；装有封面的，装订好的；黏附的；依附性的"&amp;CHAR(10)&amp;"v. 跳跃着跑；弹回，弹开；形成……的边界；关，围入；限制，束缚"&amp;CHAR(10)&amp;"n. 跳跃；界限，边界；限制，限制范围；界；极限"</f>
        <v/>
      </c>
      <c r="E3744" t="inlineStr">
        <is>
          <t>be bound to</t>
        </is>
      </c>
      <c r="G3744" s="18">
        <f>HYPERLINK("D:\python\英语学习\voices\"&amp;B3744&amp;"_1.mp3","BrE")</f>
        <v/>
      </c>
      <c r="H3744" s="18">
        <f>HYPERLINK("D:\python\英语学习\voices\"&amp;B3744&amp;"_2.mp3","AmE")</f>
        <v/>
      </c>
      <c r="I3744" s="18">
        <f>HYPERLINK("http://dict.youdao.com/w/"&amp;B3744,"有道")</f>
        <v/>
      </c>
    </row>
    <row customHeight="1" ht="28.5" r="3745">
      <c r="B3745" s="1" t="inlineStr">
        <is>
          <t>groundbreaking</t>
        </is>
      </c>
      <c r="C3745" s="17">
        <f>"adj. 开创性的"&amp;CHAR(10)&amp;"n. 动工"</f>
        <v/>
      </c>
      <c r="G3745" s="18">
        <f>HYPERLINK("D:\python\英语学习\voices\"&amp;B3745&amp;"_1.mp3","BrE")</f>
        <v/>
      </c>
      <c r="H3745" s="18">
        <f>HYPERLINK("D:\python\英语学习\voices\"&amp;B3745&amp;"_2.mp3","AmE")</f>
        <v/>
      </c>
      <c r="I3745" s="18">
        <f>HYPERLINK("http://dict.youdao.com/w/"&amp;B3745,"有道")</f>
        <v/>
      </c>
    </row>
    <row r="3746">
      <c r="B3746" s="1" t="inlineStr">
        <is>
          <t>pioneering</t>
        </is>
      </c>
      <c r="C3746" s="17">
        <f>"adj. 首创的；先驱的"</f>
        <v/>
      </c>
      <c r="G3746" s="18">
        <f>HYPERLINK("D:\python\英语学习\voices\"&amp;B3746&amp;"_1.mp3","BrE")</f>
        <v/>
      </c>
      <c r="H3746" s="18">
        <f>HYPERLINK("D:\python\英语学习\voices\"&amp;B3746&amp;"_2.mp3","AmE")</f>
        <v/>
      </c>
      <c r="I3746" s="18">
        <f>HYPERLINK("http://dict.youdao.com/w/"&amp;B3746,"有道")</f>
        <v/>
      </c>
    </row>
    <row customHeight="1" ht="28.5" r="3747">
      <c r="A3747" t="inlineStr">
        <is>
          <t>practice</t>
        </is>
      </c>
      <c r="B3747" s="1" t="inlineStr">
        <is>
          <t>profligate</t>
        </is>
      </c>
      <c r="C3747" s="17">
        <f>"adj. 放荡的，不检点的；恣意挥霍的"&amp;CHAR(10)&amp;"n. 放荡者；享乐者"</f>
        <v/>
      </c>
      <c r="E3747" t="inlineStr">
        <is>
          <t>注意发音-重音在前problem</t>
        </is>
      </c>
      <c r="G3747" s="18">
        <f>HYPERLINK("D:\python\英语学习\voices\"&amp;B3747&amp;"_1.mp3","BrE")</f>
        <v/>
      </c>
      <c r="H3747" s="18">
        <f>HYPERLINK("D:\python\英语学习\voices\"&amp;B3747&amp;"_2.mp3","AmE")</f>
        <v/>
      </c>
      <c r="I3747" s="18">
        <f>HYPERLINK("http://dict.youdao.com/w/"&amp;B3747,"有道")</f>
        <v/>
      </c>
    </row>
    <row r="3748">
      <c r="B3748" s="1" t="inlineStr">
        <is>
          <t>allege</t>
        </is>
      </c>
      <c r="C3748" s="17">
        <f>"vt. 宣称，断言；提出…作为理由"</f>
        <v/>
      </c>
      <c r="E3748" t="inlineStr">
        <is>
          <t>it is alleged that...据说</t>
        </is>
      </c>
      <c r="F3748">
        <f>"The suspect alleged that he had not been in the neighbourhood at the time of the crime."</f>
        <v/>
      </c>
      <c r="G3748" s="18">
        <f>HYPERLINK("D:\python\英语学习\voices\"&amp;B3748&amp;"_1.mp3","BrE")</f>
        <v/>
      </c>
      <c r="H3748" s="18">
        <f>HYPERLINK("D:\python\英语学习\voices\"&amp;B3748&amp;"_2.mp3","AmE")</f>
        <v/>
      </c>
      <c r="I3748" s="18">
        <f>HYPERLINK("http://dict.youdao.com/w/"&amp;B3748,"有道")</f>
        <v/>
      </c>
    </row>
    <row r="3749">
      <c r="B3749" s="1" t="inlineStr">
        <is>
          <t>democratic</t>
        </is>
      </c>
      <c r="C3749" s="17">
        <f>"adj. 民主的；民主政治的；大众的"</f>
        <v/>
      </c>
      <c r="G3749" s="18">
        <f>HYPERLINK("D:\python\英语学习\voices\"&amp;B3749&amp;"_1.mp3","BrE")</f>
        <v/>
      </c>
      <c r="H3749" s="18">
        <f>HYPERLINK("D:\python\英语学习\voices\"&amp;B3749&amp;"_2.mp3","AmE")</f>
        <v/>
      </c>
      <c r="I3749" s="18">
        <f>HYPERLINK("http://dict.youdao.com/w/"&amp;B3749,"有道")</f>
        <v/>
      </c>
    </row>
    <row r="3750">
      <c r="B3750" s="1" t="inlineStr">
        <is>
          <t>democracy</t>
        </is>
      </c>
      <c r="C3750" s="17">
        <f>"n. 民主，民主主义；民主政治"</f>
        <v/>
      </c>
      <c r="G3750" s="18">
        <f>HYPERLINK("D:\python\英语学习\voices\"&amp;B3750&amp;"_1.mp3","BrE")</f>
        <v/>
      </c>
      <c r="H3750" s="18">
        <f>HYPERLINK("D:\python\英语学习\voices\"&amp;B3750&amp;"_2.mp3","AmE")</f>
        <v/>
      </c>
      <c r="I3750" s="18">
        <f>HYPERLINK("http://dict.youdao.com/w/"&amp;B3750,"有道")</f>
        <v/>
      </c>
    </row>
    <row customHeight="1" ht="42.75" r="3751">
      <c r="B3751" s="1" t="inlineStr">
        <is>
          <t>republican</t>
        </is>
      </c>
      <c r="C3751" s="17">
        <f>"adj. 共和国的；共和政体的；共和主义的；拥护共和政体的"&amp;CHAR(10)&amp;"n. 共和主义者"</f>
        <v/>
      </c>
      <c r="G3751" s="18">
        <f>HYPERLINK("D:\python\英语学习\voices\"&amp;B3751&amp;"_1.mp3","BrE")</f>
        <v/>
      </c>
      <c r="H3751" s="18">
        <f>HYPERLINK("D:\python\英语学习\voices\"&amp;B3751&amp;"_2.mp3","AmE")</f>
        <v/>
      </c>
      <c r="I3751" s="18">
        <f>HYPERLINK("http://dict.youdao.com/w/"&amp;B3751,"有道")</f>
        <v/>
      </c>
    </row>
    <row r="3752">
      <c r="A3752" t="inlineStr">
        <is>
          <t>practice</t>
        </is>
      </c>
      <c r="B3752" s="1" t="inlineStr">
        <is>
          <t>plethora</t>
        </is>
      </c>
      <c r="C3752" s="17">
        <f>"n. 过多；过剩；[医] 多血症"</f>
        <v/>
      </c>
      <c r="E3752" t="inlineStr">
        <is>
          <t>a plethora of 大量的，用于否定的过多</t>
        </is>
      </c>
      <c r="F3752">
        <f>"He gave me a plethora of suggestions, bus few of them were useful.
他给了我很多建议，但是没几个是有用的。"</f>
        <v/>
      </c>
      <c r="G3752" s="18">
        <f>HYPERLINK("D:\python\英语学习\voices\"&amp;B3752&amp;"_1.mp3","BrE")</f>
        <v/>
      </c>
      <c r="H3752" s="18">
        <f>HYPERLINK("D:\python\英语学习\voices\"&amp;B3752&amp;"_2.mp3","AmE")</f>
        <v/>
      </c>
      <c r="I3752" s="18">
        <f>HYPERLINK("http://dict.youdao.com/w/"&amp;B3752,"有道")</f>
        <v/>
      </c>
    </row>
    <row customHeight="1" ht="42.75" r="3753">
      <c r="B3753" s="1" t="inlineStr">
        <is>
          <t>tumble</t>
        </is>
      </c>
      <c r="C3753" s="17">
        <f>"vi. 摔倒；倒塌；滚动；打滚；仓惶地行动"&amp;CHAR(10)&amp;"vt. 使摔倒；使滚翻；弄乱"&amp;CHAR(10)&amp;"n. 跌倒；翻筋斗；跌跤"</f>
        <v/>
      </c>
      <c r="E3753" t="inlineStr">
        <is>
          <t>tumble on/upon 偶然遇见</t>
        </is>
      </c>
      <c r="G3753" s="18">
        <f>HYPERLINK("D:\python\英语学习\voices\"&amp;B3753&amp;"_1.mp3","BrE")</f>
        <v/>
      </c>
      <c r="H3753" s="18">
        <f>HYPERLINK("D:\python\英语学习\voices\"&amp;B3753&amp;"_2.mp3","AmE")</f>
        <v/>
      </c>
      <c r="I3753" s="18">
        <f>HYPERLINK("http://dict.youdao.com/w/"&amp;B3753,"有道")</f>
        <v/>
      </c>
    </row>
    <row r="3754">
      <c r="B3754" s="1" t="inlineStr">
        <is>
          <t>jeopardize</t>
        </is>
      </c>
      <c r="C3754" s="17">
        <f>"vt. 危害；使陷危地；使受危困"</f>
        <v/>
      </c>
      <c r="G3754" s="18">
        <f>HYPERLINK("D:\python\英语学习\voices\"&amp;B3754&amp;"_1.mp3","BrE")</f>
        <v/>
      </c>
      <c r="H3754" s="18">
        <f>HYPERLINK("D:\python\英语学习\voices\"&amp;B3754&amp;"_2.mp3","AmE")</f>
        <v/>
      </c>
      <c r="I3754" s="18">
        <f>HYPERLINK("http://dict.youdao.com/w/"&amp;B3754,"有道")</f>
        <v/>
      </c>
    </row>
    <row customHeight="1" ht="28.5" r="3755">
      <c r="B3755" s="1" t="inlineStr">
        <is>
          <t>collide</t>
        </is>
      </c>
      <c r="C3755" s="17">
        <f>"vi. 碰撞；抵触，冲突"&amp;CHAR(10)&amp;"vt. 使碰撞；使相撞"</f>
        <v/>
      </c>
      <c r="G3755" s="18">
        <f>HYPERLINK("D:\python\英语学习\voices\"&amp;B3755&amp;"_1.mp3","BrE")</f>
        <v/>
      </c>
      <c r="H3755" s="18">
        <f>HYPERLINK("D:\python\英语学习\voices\"&amp;B3755&amp;"_2.mp3","AmE")</f>
        <v/>
      </c>
      <c r="I3755" s="18">
        <f>HYPERLINK("http://dict.youdao.com/w/"&amp;B3755,"有道")</f>
        <v/>
      </c>
    </row>
    <row r="3756">
      <c r="B3756" s="1" t="inlineStr">
        <is>
          <t>genuine</t>
        </is>
      </c>
      <c r="C3756" s="17">
        <f>"adj. 真实的，真正的；诚恳的"</f>
        <v/>
      </c>
      <c r="G3756" s="18">
        <f>HYPERLINK("D:\python\英语学习\voices\"&amp;B3756&amp;"_1.mp3","BrE")</f>
        <v/>
      </c>
      <c r="H3756" s="18">
        <f>HYPERLINK("D:\python\英语学习\voices\"&amp;B3756&amp;"_2.mp3","AmE")</f>
        <v/>
      </c>
      <c r="I3756" s="18">
        <f>HYPERLINK("http://dict.youdao.com/w/"&amp;B3756,"有道")</f>
        <v/>
      </c>
    </row>
    <row r="3757">
      <c r="B3757" s="1" t="inlineStr">
        <is>
          <t>exigency</t>
        </is>
      </c>
      <c r="C3757" s="17">
        <f>"n. 紧急；紧急事件"</f>
        <v/>
      </c>
      <c r="G3757" s="18">
        <f>HYPERLINK("D:\python\英语学习\voices\"&amp;B3757&amp;"_1.mp3","BrE")</f>
        <v/>
      </c>
      <c r="H3757" s="18">
        <f>HYPERLINK("D:\python\英语学习\voices\"&amp;B3757&amp;"_2.mp3","AmE")</f>
        <v/>
      </c>
      <c r="I3757" s="18">
        <f>HYPERLINK("http://dict.youdao.com/w/"&amp;B3757,"有道")</f>
        <v/>
      </c>
    </row>
    <row r="3758">
      <c r="B3758" s="1" t="inlineStr">
        <is>
          <t>admonish</t>
        </is>
      </c>
      <c r="C3758" s="17">
        <f>"vt. 告诫；劝告"</f>
        <v/>
      </c>
      <c r="G3758" s="18">
        <f>HYPERLINK("D:\python\英语学习\voices\"&amp;B3758&amp;"_1.mp3","BrE")</f>
        <v/>
      </c>
      <c r="H3758" s="18">
        <f>HYPERLINK("D:\python\英语学习\voices\"&amp;B3758&amp;"_2.mp3","AmE")</f>
        <v/>
      </c>
      <c r="I3758" s="18">
        <f>HYPERLINK("http://dict.youdao.com/w/"&amp;B3758,"有道")</f>
        <v/>
      </c>
    </row>
    <row r="3759">
      <c r="B3759" s="1" t="inlineStr">
        <is>
          <t>admonition</t>
        </is>
      </c>
      <c r="C3759" s="17">
        <f>"n. 警告"</f>
        <v/>
      </c>
      <c r="G3759" s="18">
        <f>HYPERLINK("D:\python\英语学习\voices\"&amp;B3759&amp;"_1.mp3","BrE")</f>
        <v/>
      </c>
      <c r="H3759" s="18">
        <f>HYPERLINK("D:\python\英语学习\voices\"&amp;B3759&amp;"_2.mp3","AmE")</f>
        <v/>
      </c>
      <c r="I3759" s="18">
        <f>HYPERLINK("http://dict.youdao.com/w/"&amp;B3759,"有道")</f>
        <v/>
      </c>
    </row>
    <row r="3760">
      <c r="B3760" s="1" t="inlineStr">
        <is>
          <t>admonishment</t>
        </is>
      </c>
      <c r="C3760" s="17">
        <f>"n. 训戒；警告（等于admonition）"</f>
        <v/>
      </c>
      <c r="G3760" s="18">
        <f>HYPERLINK("D:\python\英语学习\voices\"&amp;B3760&amp;"_1.mp3","BrE")</f>
        <v/>
      </c>
      <c r="H3760" s="18">
        <f>HYPERLINK("D:\python\英语学习\voices\"&amp;B3760&amp;"_2.mp3","AmE")</f>
        <v/>
      </c>
      <c r="I3760" s="18">
        <f>HYPERLINK("http://dict.youdao.com/w/"&amp;B3760,"有道")</f>
        <v/>
      </c>
    </row>
    <row customHeight="1" ht="28.5" r="3761">
      <c r="B3761" s="1" t="inlineStr">
        <is>
          <t>auspicious</t>
        </is>
      </c>
      <c r="C3761" s="17">
        <f>"adj. 有助于成功的，有利的；吉祥的，吉利的；富裕的"</f>
        <v/>
      </c>
      <c r="D3761" t="inlineStr">
        <is>
          <t>sinister凶兆的</t>
        </is>
      </c>
      <c r="G3761" s="18">
        <f>HYPERLINK("D:\python\英语学习\voices\"&amp;B3761&amp;"_1.mp3","BrE")</f>
        <v/>
      </c>
      <c r="H3761" s="18">
        <f>HYPERLINK("D:\python\英语学习\voices\"&amp;B3761&amp;"_2.mp3","AmE")</f>
        <v/>
      </c>
      <c r="I3761" s="18">
        <f>HYPERLINK("http://dict.youdao.com/w/"&amp;B3761,"有道")</f>
        <v/>
      </c>
    </row>
    <row r="3762">
      <c r="B3762" s="1" t="inlineStr">
        <is>
          <t>jeremiad</t>
        </is>
      </c>
      <c r="C3762" s="17">
        <f>"n. 悲叹；伤心的故事"</f>
        <v/>
      </c>
      <c r="D3762" t="inlineStr">
        <is>
          <t>jeremy人名</t>
        </is>
      </c>
      <c r="G3762" s="18">
        <f>HYPERLINK("D:\python\英语学习\voices\"&amp;B3762&amp;"_1.mp3","BrE")</f>
        <v/>
      </c>
      <c r="H3762" s="18">
        <f>HYPERLINK("D:\python\英语学习\voices\"&amp;B3762&amp;"_2.mp3","AmE")</f>
        <v/>
      </c>
      <c r="I3762" s="18">
        <f>HYPERLINK("http://dict.youdao.com/w/"&amp;B3762,"有道")</f>
        <v/>
      </c>
    </row>
    <row r="3763">
      <c r="B3763" s="1" t="inlineStr">
        <is>
          <t>cede</t>
        </is>
      </c>
      <c r="C3763" s="17">
        <f>"vt. 放弃；割让（领土）"</f>
        <v/>
      </c>
      <c r="G3763" s="18">
        <f>HYPERLINK("D:\python\英语学习\voices\"&amp;B3763&amp;"_1.mp3","BrE")</f>
        <v/>
      </c>
      <c r="H3763" s="18">
        <f>HYPERLINK("D:\python\英语学习\voices\"&amp;B3763&amp;"_2.mp3","AmE")</f>
        <v/>
      </c>
      <c r="I3763" s="18">
        <f>HYPERLINK("http://dict.youdao.com/w/"&amp;B3763,"有道")</f>
        <v/>
      </c>
    </row>
    <row customHeight="1" ht="28.5" r="3764">
      <c r="B3764" s="1" t="inlineStr">
        <is>
          <t>dichotomous</t>
        </is>
      </c>
      <c r="C3764" s="17">
        <f>"adj. 对立的，分成两个的；二歧的，叉状分枝的"</f>
        <v/>
      </c>
      <c r="D3764" t="inlineStr">
        <is>
          <t>di-两，二</t>
        </is>
      </c>
      <c r="G3764" s="18">
        <f>HYPERLINK("D:\python\英语学习\voices\"&amp;B3764&amp;"_1.mp3","BrE")</f>
        <v/>
      </c>
      <c r="H3764" s="18">
        <f>HYPERLINK("D:\python\英语学习\voices\"&amp;B3764&amp;"_2.mp3","AmE")</f>
        <v/>
      </c>
      <c r="I3764" s="18">
        <f>HYPERLINK("http://dict.youdao.com/w/"&amp;B3764,"有道")</f>
        <v/>
      </c>
    </row>
    <row r="3765">
      <c r="B3765" s="1" t="inlineStr">
        <is>
          <t>dichotomy</t>
        </is>
      </c>
      <c r="C3765" s="17">
        <f>"n. 二分法；两分；分裂；双歧分枝"</f>
        <v/>
      </c>
      <c r="G3765" s="18">
        <f>HYPERLINK("D:\python\英语学习\voices\"&amp;B3765&amp;"_1.mp3","BrE")</f>
        <v/>
      </c>
      <c r="H3765" s="18">
        <f>HYPERLINK("D:\python\英语学习\voices\"&amp;B3765&amp;"_2.mp3","AmE")</f>
        <v/>
      </c>
      <c r="I3765" s="18">
        <f>HYPERLINK("http://dict.youdao.com/w/"&amp;B3765,"有道")</f>
        <v/>
      </c>
    </row>
    <row r="3766">
      <c r="B3766" s="1" t="inlineStr">
        <is>
          <t>vituperation</t>
        </is>
      </c>
      <c r="C3766" s="17">
        <f>"n. 谩骂；辱骂；坏话"</f>
        <v/>
      </c>
      <c r="G3766" s="18">
        <f>HYPERLINK("D:\python\英语学习\voices\"&amp;B3766&amp;"_1.mp3","BrE")</f>
        <v/>
      </c>
      <c r="H3766" s="18">
        <f>HYPERLINK("D:\python\英语学习\voices\"&amp;B3766&amp;"_2.mp3","AmE")</f>
        <v/>
      </c>
      <c r="I3766" s="18">
        <f>HYPERLINK("http://dict.youdao.com/w/"&amp;B3766,"有道")</f>
        <v/>
      </c>
    </row>
    <row r="3767">
      <c r="B3767" s="1" t="inlineStr">
        <is>
          <t>hubris</t>
        </is>
      </c>
      <c r="C3767" s="17">
        <f>"n. 傲慢；狂妄自大"</f>
        <v/>
      </c>
      <c r="G3767" s="18">
        <f>HYPERLINK("D:\python\英语学习\voices\"&amp;B3767&amp;"_1.mp3","BrE")</f>
        <v/>
      </c>
      <c r="H3767" s="18">
        <f>HYPERLINK("D:\python\英语学习\voices\"&amp;B3767&amp;"_2.mp3","AmE")</f>
        <v/>
      </c>
      <c r="I3767" s="18">
        <f>HYPERLINK("http://dict.youdao.com/w/"&amp;B3767,"有道")</f>
        <v/>
      </c>
    </row>
    <row r="3768">
      <c r="B3768" s="1" t="inlineStr">
        <is>
          <t>sycophantic</t>
        </is>
      </c>
      <c r="C3768" s="17">
        <f>"adj. 说奉承话的；阿谀的"</f>
        <v/>
      </c>
      <c r="G3768" s="18">
        <f>HYPERLINK("D:\python\英语学习\voices\"&amp;B3768&amp;"_1.mp3","BrE")</f>
        <v/>
      </c>
      <c r="H3768" s="18">
        <f>HYPERLINK("D:\python\英语学习\voices\"&amp;B3768&amp;"_2.mp3","AmE")</f>
        <v/>
      </c>
      <c r="I3768" s="18">
        <f>HYPERLINK("http://dict.youdao.com/w/"&amp;B3768,"有道")</f>
        <v/>
      </c>
    </row>
    <row r="3769">
      <c r="A3769" t="inlineStr">
        <is>
          <t>unnecessary</t>
        </is>
      </c>
      <c r="B3769" s="1" t="inlineStr">
        <is>
          <t>authoritarianism</t>
        </is>
      </c>
      <c r="C3769" s="17">
        <f>"n. 独裁主义；权力主义"</f>
        <v/>
      </c>
      <c r="G3769" s="18">
        <f>HYPERLINK("D:\python\英语学习\voices\"&amp;B3769&amp;"_1.mp3","BrE")</f>
        <v/>
      </c>
      <c r="H3769" s="18">
        <f>HYPERLINK("D:\python\英语学习\voices\"&amp;B3769&amp;"_2.mp3","AmE")</f>
        <v/>
      </c>
      <c r="I3769" s="18">
        <f>HYPERLINK("http://dict.youdao.com/w/"&amp;B3769,"有道")</f>
        <v/>
      </c>
    </row>
    <row customHeight="1" ht="28.5" r="3770">
      <c r="B3770" s="1" t="inlineStr">
        <is>
          <t>totalitarian</t>
        </is>
      </c>
      <c r="C3770" s="17">
        <f>"adj. 极权主义的"&amp;CHAR(10)&amp;"n. 极权主义者"</f>
        <v/>
      </c>
      <c r="G3770" s="18">
        <f>HYPERLINK("D:\python\英语学习\voices\"&amp;B3770&amp;"_1.mp3","BrE")</f>
        <v/>
      </c>
      <c r="H3770" s="18">
        <f>HYPERLINK("D:\python\英语学习\voices\"&amp;B3770&amp;"_2.mp3","AmE")</f>
        <v/>
      </c>
      <c r="I3770" s="18">
        <f>HYPERLINK("http://dict.youdao.com/w/"&amp;B3770,"有道")</f>
        <v/>
      </c>
    </row>
    <row r="3771">
      <c r="B3771" s="1" t="inlineStr">
        <is>
          <t>indiscretion</t>
        </is>
      </c>
      <c r="C3771" s="17">
        <f>"n. 轻率；言行失检"</f>
        <v/>
      </c>
      <c r="G3771" s="18">
        <f>HYPERLINK("D:\python\英语学习\voices\"&amp;B3771&amp;"_1.mp3","BrE")</f>
        <v/>
      </c>
      <c r="H3771" s="18">
        <f>HYPERLINK("D:\python\英语学习\voices\"&amp;B3771&amp;"_2.mp3","AmE")</f>
        <v/>
      </c>
      <c r="I3771" s="18">
        <f>HYPERLINK("http://dict.youdao.com/w/"&amp;B3771,"有道")</f>
        <v/>
      </c>
    </row>
    <row r="3772">
      <c r="B3772" s="1" t="inlineStr">
        <is>
          <t>retraction</t>
        </is>
      </c>
      <c r="C3772" s="17">
        <f>"n. 撤回，撤销；收回"</f>
        <v/>
      </c>
      <c r="G3772" s="18">
        <f>HYPERLINK("D:\python\英语学习\voices\"&amp;B3772&amp;"_1.mp3","BrE")</f>
        <v/>
      </c>
      <c r="H3772" s="18">
        <f>HYPERLINK("D:\python\英语学习\voices\"&amp;B3772&amp;"_2.mp3","AmE")</f>
        <v/>
      </c>
      <c r="I3772" s="18">
        <f>HYPERLINK("http://dict.youdao.com/w/"&amp;B3772,"有道")</f>
        <v/>
      </c>
    </row>
    <row customHeight="1" ht="42.75" r="3773">
      <c r="B3773" s="1" t="inlineStr">
        <is>
          <t>retract</t>
        </is>
      </c>
      <c r="C3773" s="17">
        <f>"vt. 缩回；缩进；取消"&amp;CHAR(10)&amp;"vi. 缩回；缩进；撤消"&amp;CHAR(10)&amp;"n. 收缩核"</f>
        <v/>
      </c>
      <c r="G3773" s="18">
        <f>HYPERLINK("D:\python\英语学习\voices\"&amp;B3773&amp;"_1.mp3","BrE")</f>
        <v/>
      </c>
      <c r="H3773" s="18">
        <f>HYPERLINK("D:\python\英语学习\voices\"&amp;B3773&amp;"_2.mp3","AmE")</f>
        <v/>
      </c>
      <c r="I3773" s="18">
        <f>HYPERLINK("http://dict.youdao.com/w/"&amp;B3773,"有道")</f>
        <v/>
      </c>
    </row>
    <row r="3774">
      <c r="B3774" s="1" t="inlineStr">
        <is>
          <t>indiscriminate</t>
        </is>
      </c>
      <c r="C3774" s="17">
        <f>"adj. 任意的；无差别的；不分皂白的"</f>
        <v/>
      </c>
      <c r="E3774" t="inlineStr">
        <is>
          <t>the indiscriminate use滥用</t>
        </is>
      </c>
      <c r="G3774" s="18">
        <f>HYPERLINK("D:\python\英语学习\voices\"&amp;B3774&amp;"_1.mp3","BrE")</f>
        <v/>
      </c>
      <c r="H3774" s="18">
        <f>HYPERLINK("D:\python\英语学习\voices\"&amp;B3774&amp;"_2.mp3","AmE")</f>
        <v/>
      </c>
      <c r="I3774" s="18">
        <f>HYPERLINK("http://dict.youdao.com/w/"&amp;B3774,"有道")</f>
        <v/>
      </c>
    </row>
    <row customHeight="1" ht="28.5" r="3775">
      <c r="B3775" s="1" t="inlineStr">
        <is>
          <t>rambling</t>
        </is>
      </c>
      <c r="C3775" s="17">
        <f>"adj. 漫步的；闲聊的；蔓生的"&amp;CHAR(10)&amp;"v. 漫步（ramble的ing形式）"</f>
        <v/>
      </c>
      <c r="G3775" s="18">
        <f>HYPERLINK("D:\python\英语学习\voices\"&amp;B3775&amp;"_1.mp3","BrE")</f>
        <v/>
      </c>
      <c r="H3775" s="18">
        <f>HYPERLINK("D:\python\英语学习\voices\"&amp;B3775&amp;"_2.mp3","AmE")</f>
        <v/>
      </c>
      <c r="I3775" s="18">
        <f>HYPERLINK("http://dict.youdao.com/w/"&amp;B3775,"有道")</f>
        <v/>
      </c>
    </row>
    <row customHeight="1" ht="28.5" r="3776">
      <c r="B3776" s="1" t="inlineStr">
        <is>
          <t>tempting</t>
        </is>
      </c>
      <c r="C3776" s="17">
        <f>"adj. 吸引人的；诱惑人的"&amp;CHAR(10)&amp;"v. 引诱（tempt的ing形式）"</f>
        <v/>
      </c>
      <c r="G3776" s="18">
        <f>HYPERLINK("D:\python\英语学习\voices\"&amp;B3776&amp;"_1.mp3","BrE")</f>
        <v/>
      </c>
      <c r="H3776" s="18">
        <f>HYPERLINK("D:\python\英语学习\voices\"&amp;B3776&amp;"_2.mp3","AmE")</f>
        <v/>
      </c>
      <c r="I3776" s="18">
        <f>HYPERLINK("http://dict.youdao.com/w/"&amp;B3776,"有道")</f>
        <v/>
      </c>
    </row>
    <row r="3777">
      <c r="B3777" s="1" t="inlineStr">
        <is>
          <t>exasperate</t>
        </is>
      </c>
      <c r="C3777" s="17">
        <f>"vt. 恶化；使恼怒；激怒"</f>
        <v/>
      </c>
      <c r="G3777" s="18">
        <f>HYPERLINK("D:\python\英语学习\voices\"&amp;B3777&amp;"_1.mp3","BrE")</f>
        <v/>
      </c>
      <c r="H3777" s="18">
        <f>HYPERLINK("D:\python\英语学习\voices\"&amp;B3777&amp;"_2.mp3","AmE")</f>
        <v/>
      </c>
      <c r="I3777" s="18">
        <f>HYPERLINK("http://dict.youdao.com/w/"&amp;B3777,"有道")</f>
        <v/>
      </c>
    </row>
    <row customHeight="1" ht="28.5" r="3778">
      <c r="B3778" s="1" t="inlineStr">
        <is>
          <t>asperity</t>
        </is>
      </c>
      <c r="C3778" s="17">
        <f>"n. （表面的）粗糙；（气候等的）严酷；艰苦的条件；（性格）粗暴"</f>
        <v/>
      </c>
      <c r="G3778" s="18">
        <f>HYPERLINK("D:\python\英语学习\voices\"&amp;B3778&amp;"_1.mp3","BrE")</f>
        <v/>
      </c>
      <c r="H3778" s="18">
        <f>HYPERLINK("D:\python\英语学习\voices\"&amp;B3778&amp;"_2.mp3","AmE")</f>
        <v/>
      </c>
      <c r="I3778" s="18">
        <f>HYPERLINK("http://dict.youdao.com/w/"&amp;B3778,"有道")</f>
        <v/>
      </c>
    </row>
    <row r="3779">
      <c r="B3779" s="1" t="inlineStr">
        <is>
          <t>pernicious</t>
        </is>
      </c>
      <c r="C3779" s="17">
        <f>"adj. 有害的；恶性的；致命的；险恶的"</f>
        <v/>
      </c>
      <c r="G3779" s="18">
        <f>HYPERLINK("D:\python\英语学习\voices\"&amp;B3779&amp;"_1.mp3","BrE")</f>
        <v/>
      </c>
      <c r="H3779" s="18">
        <f>HYPERLINK("D:\python\英语学习\voices\"&amp;B3779&amp;"_2.mp3","AmE")</f>
        <v/>
      </c>
      <c r="I3779" s="18">
        <f>HYPERLINK("http://dict.youdao.com/w/"&amp;B3779,"有道")</f>
        <v/>
      </c>
    </row>
    <row r="3780">
      <c r="B3780" s="1" t="inlineStr">
        <is>
          <t>inconstancy</t>
        </is>
      </c>
      <c r="C3780" s="17">
        <f>"n. 反复无常，易变；不定性"</f>
        <v/>
      </c>
      <c r="G3780" s="18">
        <f>HYPERLINK("D:\python\英语学习\voices\"&amp;B3780&amp;"_1.mp3","BrE")</f>
        <v/>
      </c>
      <c r="H3780" s="18">
        <f>HYPERLINK("D:\python\英语学习\voices\"&amp;B3780&amp;"_2.mp3","AmE")</f>
        <v/>
      </c>
      <c r="I3780" s="18">
        <f>HYPERLINK("http://dict.youdao.com/w/"&amp;B3780,"有道")</f>
        <v/>
      </c>
    </row>
    <row customHeight="1" ht="28.5" r="3781">
      <c r="B3781" s="1" t="inlineStr">
        <is>
          <t>befuddled</t>
        </is>
      </c>
      <c r="C3781" s="17">
        <f>"adj. 昏沉的，糊里糊涂的"&amp;CHAR(10)&amp;"v. 使…迷惑；使…烂醉（befuddle的过去分词）"</f>
        <v/>
      </c>
      <c r="G3781" s="18">
        <f>HYPERLINK("D:\python\英语学习\voices\"&amp;B3781&amp;"_1.mp3","BrE")</f>
        <v/>
      </c>
      <c r="H3781" s="18">
        <f>HYPERLINK("D:\python\英语学习\voices\"&amp;B3781&amp;"_2.mp3","AmE")</f>
        <v/>
      </c>
      <c r="I3781" s="18">
        <f>HYPERLINK("http://dict.youdao.com/w/"&amp;B3781,"有道")</f>
        <v/>
      </c>
    </row>
    <row customHeight="1" ht="57" r="3782">
      <c r="B3782" s="1" t="inlineStr">
        <is>
          <t>quest</t>
        </is>
      </c>
      <c r="C3782" s="17">
        <f>"n. 追求；寻找；任务（游戏术语）"&amp;CHAR(10)&amp;"vi. 追求；寻找"&amp;CHAR(10)&amp;"vt. 探索"&amp;CHAR(10)&amp;"n. (Quest)人名；(德)奎斯特"</f>
        <v/>
      </c>
      <c r="E3782" t="inlineStr">
        <is>
          <t>in quest of</t>
        </is>
      </c>
      <c r="G3782" s="18">
        <f>HYPERLINK("D:\python\英语学习\voices\"&amp;B3782&amp;"_1.mp3","BrE")</f>
        <v/>
      </c>
      <c r="H3782" s="18">
        <f>HYPERLINK("D:\python\英语学习\voices\"&amp;B3782&amp;"_2.mp3","AmE")</f>
        <v/>
      </c>
      <c r="I3782" s="18">
        <f>HYPERLINK("http://dict.youdao.com/w/"&amp;B3782,"有道")</f>
        <v/>
      </c>
    </row>
    <row customHeight="1" ht="28.5" r="3783">
      <c r="B3783" s="1" t="inlineStr">
        <is>
          <t>absurd</t>
        </is>
      </c>
      <c r="C3783" s="17">
        <f>"adj. 荒谬的；可笑的"&amp;CHAR(10)&amp;"n. 荒诞；荒诞作品"</f>
        <v/>
      </c>
      <c r="G3783" s="18">
        <f>HYPERLINK("D:\python\英语学习\voices\"&amp;B3783&amp;"_1.mp3","BrE")</f>
        <v/>
      </c>
      <c r="H3783" s="18">
        <f>HYPERLINK("D:\python\英语学习\voices\"&amp;B3783&amp;"_2.mp3","AmE")</f>
        <v/>
      </c>
      <c r="I3783" s="18">
        <f>HYPERLINK("http://dict.youdao.com/w/"&amp;B3783,"有道")</f>
        <v/>
      </c>
    </row>
    <row customHeight="1" ht="28.5" r="3784">
      <c r="B3784" s="1" t="inlineStr">
        <is>
          <t>tidal</t>
        </is>
      </c>
      <c r="C3784" s="17">
        <f>"adj. 潮汐的；潮的，有关潮水的；定时涨落的"&amp;CHAR(10)&amp;"n. (Tidal)人名；(瑞典)蒂达尔"</f>
        <v/>
      </c>
      <c r="G3784" s="18">
        <f>HYPERLINK("D:\python\英语学习\voices\"&amp;B3784&amp;"_1.mp3","BrE")</f>
        <v/>
      </c>
      <c r="H3784" s="18">
        <f>HYPERLINK("D:\python\英语学习\voices\"&amp;B3784&amp;"_2.mp3","AmE")</f>
        <v/>
      </c>
      <c r="I3784" s="18">
        <f>HYPERLINK("http://dict.youdao.com/w/"&amp;B3784,"有道")</f>
        <v/>
      </c>
    </row>
    <row customHeight="1" ht="42.75" r="3785">
      <c r="B3785" s="1" t="inlineStr">
        <is>
          <t>skyrocketing</t>
        </is>
      </c>
      <c r="C3785" s="17">
        <f>"n. 价格飞涨；突涨，飞升"&amp;CHAR(10)&amp;"v. 火箭式地上升；鲁莽行事（skyrocket的ing形式）"</f>
        <v/>
      </c>
      <c r="G3785" s="18">
        <f>HYPERLINK("D:\python\英语学习\voices\"&amp;B3785&amp;"_1.mp3","BrE")</f>
        <v/>
      </c>
      <c r="H3785" s="18">
        <f>HYPERLINK("D:\python\英语学习\voices\"&amp;B3785&amp;"_2.mp3","AmE")</f>
        <v/>
      </c>
      <c r="I3785" s="18">
        <f>HYPERLINK("http://dict.youdao.com/w/"&amp;B3785,"有道")</f>
        <v/>
      </c>
    </row>
    <row r="3786">
      <c r="B3786" s="1" t="inlineStr">
        <is>
          <t>surmount</t>
        </is>
      </c>
      <c r="C3786" s="17">
        <f>"vt. 克服，越过；战胜"</f>
        <v/>
      </c>
      <c r="D3786" t="inlineStr">
        <is>
          <t>sur-上 mount-山 上山-&gt;克服解决</t>
        </is>
      </c>
      <c r="G3786" s="18">
        <f>HYPERLINK("D:\python\英语学习\voices\"&amp;B3786&amp;"_1.mp3","BrE")</f>
        <v/>
      </c>
      <c r="H3786" s="18">
        <f>HYPERLINK("D:\python\英语学习\voices\"&amp;B3786&amp;"_2.mp3","AmE")</f>
        <v/>
      </c>
      <c r="I3786" s="18">
        <f>HYPERLINK("http://dict.youdao.com/w/"&amp;B3786,"有道")</f>
        <v/>
      </c>
    </row>
    <row r="3787">
      <c r="B3787" s="1" t="inlineStr">
        <is>
          <t>impassive</t>
        </is>
      </c>
      <c r="C3787" s="17">
        <f>"adj. 冷漠的；无感觉的"</f>
        <v/>
      </c>
      <c r="G3787" s="18">
        <f>HYPERLINK("D:\python\英语学习\voices\"&amp;B3787&amp;"_1.mp3","BrE")</f>
        <v/>
      </c>
      <c r="H3787" s="18">
        <f>HYPERLINK("D:\python\英语学习\voices\"&amp;B3787&amp;"_2.mp3","AmE")</f>
        <v/>
      </c>
      <c r="I3787" s="18">
        <f>HYPERLINK("http://dict.youdao.com/w/"&amp;B3787,"有道")</f>
        <v/>
      </c>
    </row>
    <row r="3788">
      <c r="B3788" s="1" t="inlineStr">
        <is>
          <t>counterpoint</t>
        </is>
      </c>
      <c r="C3788" s="17">
        <f>"n. 复调；对位法；旋律配合；对应物"</f>
        <v/>
      </c>
      <c r="G3788" s="18">
        <f>HYPERLINK("D:\python\英语学习\voices\"&amp;B3788&amp;"_1.mp3","BrE")</f>
        <v/>
      </c>
      <c r="H3788" s="18">
        <f>HYPERLINK("D:\python\英语学习\voices\"&amp;B3788&amp;"_2.mp3","AmE")</f>
        <v/>
      </c>
      <c r="I3788" s="18">
        <f>HYPERLINK("http://dict.youdao.com/w/"&amp;B3788,"有道")</f>
        <v/>
      </c>
    </row>
    <row r="3789">
      <c r="B3789" s="1" t="inlineStr">
        <is>
          <t>unwarranted</t>
        </is>
      </c>
      <c r="C3789" s="17">
        <f>"adj. 无根据的；无保证的"</f>
        <v/>
      </c>
      <c r="G3789" s="18">
        <f>HYPERLINK("D:\python\英语学习\voices\"&amp;B3789&amp;"_1.mp3","BrE")</f>
        <v/>
      </c>
      <c r="H3789" s="18">
        <f>HYPERLINK("D:\python\英语学习\voices\"&amp;B3789&amp;"_2.mp3","AmE")</f>
        <v/>
      </c>
      <c r="I3789" s="18">
        <f>HYPERLINK("http://dict.youdao.com/w/"&amp;B3789,"有道")</f>
        <v/>
      </c>
    </row>
    <row customHeight="1" ht="28.5" r="3790">
      <c r="B3790" s="1" t="inlineStr">
        <is>
          <t>warranted</t>
        </is>
      </c>
      <c r="C3790" s="17">
        <f>"adj. 保证的；担保的"&amp;CHAR(10)&amp;"v. 批准（warrant的过去分词）；授权"</f>
        <v/>
      </c>
      <c r="G3790" s="18">
        <f>HYPERLINK("D:\python\英语学习\voices\"&amp;B3790&amp;"_1.mp3","BrE")</f>
        <v/>
      </c>
      <c r="H3790" s="18">
        <f>HYPERLINK("D:\python\英语学习\voices\"&amp;B3790&amp;"_2.mp3","AmE")</f>
        <v/>
      </c>
      <c r="I3790" s="18">
        <f>HYPERLINK("http://dict.youdao.com/w/"&amp;B3790,"有道")</f>
        <v/>
      </c>
    </row>
    <row r="3791">
      <c r="B3791" s="1" t="inlineStr">
        <is>
          <t>rectitude</t>
        </is>
      </c>
      <c r="C3791" s="17">
        <f>"n. 公正；诚实；清廉"</f>
        <v/>
      </c>
      <c r="D3791" t="inlineStr">
        <is>
          <t>rect-正，直</t>
        </is>
      </c>
      <c r="G3791" s="18">
        <f>HYPERLINK("D:\python\英语学习\voices\"&amp;B3791&amp;"_1.mp3","BrE")</f>
        <v/>
      </c>
      <c r="H3791" s="18">
        <f>HYPERLINK("D:\python\英语学习\voices\"&amp;B3791&amp;"_2.mp3","AmE")</f>
        <v/>
      </c>
      <c r="I3791" s="18">
        <f>HYPERLINK("http://dict.youdao.com/w/"&amp;B3791,"有道")</f>
        <v/>
      </c>
    </row>
    <row r="3792">
      <c r="B3792" s="1" t="inlineStr">
        <is>
          <t>officious</t>
        </is>
      </c>
      <c r="C3792" s="17">
        <f>"adj. 摆官架子的；爱管闲事的；乐于助人的"</f>
        <v/>
      </c>
      <c r="D3792" t="inlineStr">
        <is>
          <t>official-officious</t>
        </is>
      </c>
      <c r="G3792" s="18">
        <f>HYPERLINK("D:\python\英语学习\voices\"&amp;B3792&amp;"_1.mp3","BrE")</f>
        <v/>
      </c>
      <c r="H3792" s="18">
        <f>HYPERLINK("D:\python\英语学习\voices\"&amp;B3792&amp;"_2.mp3","AmE")</f>
        <v/>
      </c>
      <c r="I3792" s="18">
        <f>HYPERLINK("http://dict.youdao.com/w/"&amp;B3792,"有道")</f>
        <v/>
      </c>
    </row>
    <row r="3793">
      <c r="A3793" t="inlineStr">
        <is>
          <t>unnecessary</t>
        </is>
      </c>
      <c r="B3793" s="1" t="inlineStr">
        <is>
          <t>prefecture</t>
        </is>
      </c>
      <c r="C3793" s="17">
        <f>"n. 县；管区，辖区；地方官的任期"</f>
        <v/>
      </c>
      <c r="E3793" t="inlineStr">
        <is>
          <t>（法、意、日等国的）</t>
        </is>
      </c>
      <c r="G3793" s="18">
        <f>HYPERLINK("D:\python\英语学习\voices\"&amp;B3793&amp;"_1.mp3","BrE")</f>
        <v/>
      </c>
      <c r="H3793" s="18">
        <f>HYPERLINK("D:\python\英语学习\voices\"&amp;B3793&amp;"_2.mp3","AmE")</f>
        <v/>
      </c>
      <c r="I3793" s="18">
        <f>HYPERLINK("http://dict.youdao.com/w/"&amp;B3793,"有道")</f>
        <v/>
      </c>
    </row>
    <row r="3794">
      <c r="B3794" s="1" t="inlineStr">
        <is>
          <t>commitee</t>
        </is>
      </c>
      <c r="C3794" s="17">
        <f>"查无此词，请检查拼写"</f>
        <v/>
      </c>
      <c r="G3794" s="18">
        <f>HYPERLINK("D:\python\英语学习\voices\"&amp;B3794&amp;"_1.mp3","BrE")</f>
        <v/>
      </c>
      <c r="H3794" s="18">
        <f>HYPERLINK("D:\python\英语学习\voices\"&amp;B3794&amp;"_2.mp3","AmE")</f>
        <v/>
      </c>
      <c r="I3794" s="18">
        <f>HYPERLINK("http://dict.youdao.com/w/"&amp;B3794,"有道")</f>
        <v/>
      </c>
    </row>
    <row customHeight="1" ht="71.25" r="3795">
      <c r="B3795" s="1" t="inlineStr">
        <is>
          <t>chair</t>
        </is>
      </c>
      <c r="C3795" s="17">
        <f>"n. 椅子；讲座；（会议的）主席位；大学教授的职位"&amp;CHAR(10)&amp;"vt. 担任（会议的）主席；使…入座；使就任要职"&amp;CHAR(10)&amp;"n. (Chair)人名；(法)谢尔"</f>
        <v/>
      </c>
      <c r="E3795" t="inlineStr">
        <is>
          <t>动词</t>
        </is>
      </c>
      <c r="G3795" s="18">
        <f>HYPERLINK("D:\python\英语学习\voices\"&amp;B3795&amp;"_1.mp3","BrE")</f>
        <v/>
      </c>
      <c r="H3795" s="18">
        <f>HYPERLINK("D:\python\英语学习\voices\"&amp;B3795&amp;"_2.mp3","AmE")</f>
        <v/>
      </c>
      <c r="I3795" s="18">
        <f>HYPERLINK("http://dict.youdao.com/w/"&amp;B3795,"有道")</f>
        <v/>
      </c>
    </row>
    <row r="3796">
      <c r="B3796" s="1" t="inlineStr">
        <is>
          <t>imply</t>
        </is>
      </c>
      <c r="C3796" s="17">
        <f>"vt. 意味；暗示；隐含"</f>
        <v/>
      </c>
      <c r="G3796" s="18">
        <f>HYPERLINK("D:\python\英语学习\voices\"&amp;B3796&amp;"_1.mp3","BrE")</f>
        <v/>
      </c>
      <c r="H3796" s="18">
        <f>HYPERLINK("D:\python\英语学习\voices\"&amp;B3796&amp;"_2.mp3","AmE")</f>
        <v/>
      </c>
      <c r="I3796" s="18">
        <f>HYPERLINK("http://dict.youdao.com/w/"&amp;B3796,"有道")</f>
        <v/>
      </c>
    </row>
    <row customHeight="1" ht="42.75" r="3797">
      <c r="B3797" s="1" t="inlineStr">
        <is>
          <t>subsidised</t>
        </is>
      </c>
      <c r="C3797" s="17">
        <f>"v. 资助；给……发津贴，补贴（subsidise 的过去式及过去分词，subsidise 等于 subsidize）"&amp;CHAR(10)&amp;"adj. 有补助的，获得补贴的"</f>
        <v/>
      </c>
      <c r="E3797" t="inlineStr">
        <is>
          <t>subsidised meal 工作补贴餐</t>
        </is>
      </c>
      <c r="G3797" s="18">
        <f>HYPERLINK("D:\python\英语学习\voices\"&amp;B3797&amp;"_1.mp3","BrE")</f>
        <v/>
      </c>
      <c r="H3797" s="18">
        <f>HYPERLINK("D:\python\英语学习\voices\"&amp;B3797&amp;"_2.mp3","AmE")</f>
        <v/>
      </c>
      <c r="I3797" s="18">
        <f>HYPERLINK("http://dict.youdao.com/w/"&amp;B3797,"有道")</f>
        <v/>
      </c>
    </row>
    <row customHeight="1" ht="42.75" r="3798">
      <c r="B3798" s="1" t="inlineStr">
        <is>
          <t>wince</t>
        </is>
      </c>
      <c r="C3798" s="17">
        <f>"vi. 畏缩，退避"&amp;CHAR(10)&amp;"n. 畏缩；脸部肌肉的抽搐"&amp;CHAR(10)&amp;"n. (Wince)人名；(英)温斯"</f>
        <v/>
      </c>
      <c r="G3798" s="18">
        <f>HYPERLINK("D:\python\英语学习\voices\"&amp;B3798&amp;"_1.mp3","BrE")</f>
        <v/>
      </c>
      <c r="H3798" s="18">
        <f>HYPERLINK("D:\python\英语学习\voices\"&amp;B3798&amp;"_2.mp3","AmE")</f>
        <v/>
      </c>
      <c r="I3798" s="18">
        <f>HYPERLINK("http://dict.youdao.com/w/"&amp;B3798,"有道")</f>
        <v/>
      </c>
    </row>
    <row r="3799">
      <c r="B3799" s="1" t="inlineStr">
        <is>
          <t>intransigence</t>
        </is>
      </c>
      <c r="C3799" s="17">
        <f>"n. 不妥协；不让步；不调和"</f>
        <v/>
      </c>
      <c r="G3799" s="18">
        <f>HYPERLINK("D:\python\英语学习\voices\"&amp;B3799&amp;"_1.mp3","BrE")</f>
        <v/>
      </c>
      <c r="H3799" s="18">
        <f>HYPERLINK("D:\python\英语学习\voices\"&amp;B3799&amp;"_2.mp3","AmE")</f>
        <v/>
      </c>
      <c r="I3799" s="18">
        <f>HYPERLINK("http://dict.youdao.com/w/"&amp;B3799,"有道")</f>
        <v/>
      </c>
    </row>
    <row customHeight="1" ht="57" r="3800">
      <c r="B3800" s="1" t="inlineStr">
        <is>
          <t>retrograde</t>
        </is>
      </c>
      <c r="C3800" s="17">
        <f>"adj. 倒退的；退化的；次序颠倒的"&amp;CHAR(10)&amp;"vi. 逆行；倒退；退步"&amp;CHAR(10)&amp;"vt. 使倒退"&amp;CHAR(10)&amp;"adv. 倒退地；向后地"</f>
        <v/>
      </c>
      <c r="E3800" t="inlineStr">
        <is>
          <t>in retrograde</t>
        </is>
      </c>
      <c r="G3800" s="18">
        <f>HYPERLINK("D:\python\英语学习\voices\"&amp;B3800&amp;"_1.mp3","BrE")</f>
        <v/>
      </c>
      <c r="H3800" s="18">
        <f>HYPERLINK("D:\python\英语学习\voices\"&amp;B3800&amp;"_2.mp3","AmE")</f>
        <v/>
      </c>
      <c r="I3800" s="18">
        <f>HYPERLINK("http://dict.youdao.com/w/"&amp;B3800,"有道")</f>
        <v/>
      </c>
    </row>
    <row r="3801">
      <c r="B3801" s="1" t="inlineStr">
        <is>
          <t>eerie</t>
        </is>
      </c>
      <c r="C3801" s="17">
        <f>"adj. 可怕的；怪异的"</f>
        <v/>
      </c>
      <c r="G3801" s="18">
        <f>HYPERLINK("D:\python\英语学习\voices\"&amp;B3801&amp;"_1.mp3","BrE")</f>
        <v/>
      </c>
      <c r="H3801" s="18">
        <f>HYPERLINK("D:\python\英语学习\voices\"&amp;B3801&amp;"_2.mp3","AmE")</f>
        <v/>
      </c>
      <c r="I3801" s="18">
        <f>HYPERLINK("http://dict.youdao.com/w/"&amp;B3801,"有道")</f>
        <v/>
      </c>
    </row>
    <row r="3802">
      <c r="A3802" t="inlineStr">
        <is>
          <t>unnecessary</t>
        </is>
      </c>
      <c r="B3802" s="1" t="inlineStr">
        <is>
          <t>whitleblower</t>
        </is>
      </c>
      <c r="C3802" s="17">
        <f>"查无此词，请检查拼写"</f>
        <v/>
      </c>
      <c r="G3802" s="18">
        <f>HYPERLINK("D:\python\英语学习\voices\"&amp;B3802&amp;"_1.mp3","BrE")</f>
        <v/>
      </c>
      <c r="H3802" s="18">
        <f>HYPERLINK("D:\python\英语学习\voices\"&amp;B3802&amp;"_2.mp3","AmE")</f>
        <v/>
      </c>
      <c r="I3802" s="18">
        <f>HYPERLINK("http://dict.youdao.com/w/"&amp;B3802,"有道")</f>
        <v/>
      </c>
    </row>
    <row customHeight="1" ht="28.5" r="3803">
      <c r="B3803" s="1" t="inlineStr">
        <is>
          <t>marriage</t>
        </is>
      </c>
      <c r="C3803" s="17">
        <f>"n. 结婚；婚姻生活；密切结合，合并"&amp;CHAR(10)&amp;"n. (Marriage)人名；(英)马里奇"</f>
        <v/>
      </c>
      <c r="E3803" t="inlineStr">
        <is>
          <t>注意拼写-marri-age</t>
        </is>
      </c>
      <c r="G3803" s="18">
        <f>HYPERLINK("D:\python\英语学习\voices\"&amp;B3803&amp;"_1.mp3","BrE")</f>
        <v/>
      </c>
      <c r="H3803" s="18">
        <f>HYPERLINK("D:\python\英语学习\voices\"&amp;B3803&amp;"_2.mp3","AmE")</f>
        <v/>
      </c>
      <c r="I3803" s="18">
        <f>HYPERLINK("http://dict.youdao.com/w/"&amp;B3803,"有道")</f>
        <v/>
      </c>
    </row>
    <row r="3804">
      <c r="B3804" s="1" t="inlineStr">
        <is>
          <t>outcry</t>
        </is>
      </c>
      <c r="C3804" s="17">
        <f>"n. 强烈抗议；大声疾呼；尖叫；倒彩"</f>
        <v/>
      </c>
      <c r="F3804">
        <f>"Japan courts outcry with Fukushima plan"</f>
        <v/>
      </c>
      <c r="G3804" s="18">
        <f>HYPERLINK("D:\python\英语学习\voices\"&amp;B3804&amp;"_1.mp3","BrE")</f>
        <v/>
      </c>
      <c r="H3804" s="18">
        <f>HYPERLINK("D:\python\英语学习\voices\"&amp;B3804&amp;"_2.mp3","AmE")</f>
        <v/>
      </c>
      <c r="I3804" s="18">
        <f>HYPERLINK("http://dict.youdao.com/w/"&amp;B3804,"有道")</f>
        <v/>
      </c>
    </row>
    <row customHeight="1" ht="85.5" r="3805">
      <c r="C3805" s="17">
        <f>"pron. 没有人，一个也没有，没有任何东西"&amp;CHAR(10)&amp;"adj. 没有的，一点没有的"&amp;CHAR(10)&amp;"adv. 一点也不；决不，不怎么，绝不"&amp;CHAR(10)&amp;"n. 申初经（天主教七段祈祷时间中的一部分，通常在一天中的第九个小时）"&amp;CHAR(10)&amp;"n. (None) （葡、罗）诺内（人名）"</f>
        <v/>
      </c>
      <c r="G3805" s="18">
        <f>HYPERLINK("D:\python\英语学习\voices\"&amp;B3805&amp;"_1.mp3","BrE")</f>
        <v/>
      </c>
      <c r="H3805" s="18">
        <f>HYPERLINK("D:\python\英语学习\voices\"&amp;B3805&amp;"_2.mp3","AmE")</f>
        <v/>
      </c>
      <c r="I3805" s="18">
        <f>HYPERLINK("http://dict.youdao.com/w/"&amp;B3805,"有道")</f>
        <v/>
      </c>
    </row>
    <row r="3806">
      <c r="B3806" s="1" t="inlineStr">
        <is>
          <t>specification</t>
        </is>
      </c>
      <c r="C3806" s="17">
        <f>"n. 规格；说明书；详述"</f>
        <v/>
      </c>
      <c r="E3806" t="inlineStr">
        <is>
          <t>缩写spec(s)</t>
        </is>
      </c>
      <c r="G3806" s="18">
        <f>HYPERLINK("D:\python\英语学习\voices\"&amp;B3806&amp;"_1.mp3","BrE")</f>
        <v/>
      </c>
      <c r="H3806" s="18">
        <f>HYPERLINK("D:\python\英语学习\voices\"&amp;B3806&amp;"_2.mp3","AmE")</f>
        <v/>
      </c>
      <c r="I3806" s="18">
        <f>HYPERLINK("http://dict.youdao.com/w/"&amp;B3806,"有道")</f>
        <v/>
      </c>
    </row>
    <row customHeight="1" ht="28.5" r="3807">
      <c r="A3807" t="inlineStr">
        <is>
          <t>important</t>
        </is>
      </c>
      <c r="B3807" s="1" t="inlineStr">
        <is>
          <t>liable</t>
        </is>
      </c>
      <c r="C3807" s="17">
        <f>"adj. 有责任的，有义务的；应受罚的；有…倾向的；易…的"</f>
        <v/>
      </c>
      <c r="E3807" t="inlineStr">
        <is>
          <t>be liable to = tend to</t>
        </is>
      </c>
      <c r="G3807" s="18">
        <f>HYPERLINK("D:\python\英语学习\voices\"&amp;B3807&amp;"_1.mp3","BrE")</f>
        <v/>
      </c>
      <c r="H3807" s="18">
        <f>HYPERLINK("D:\python\英语学习\voices\"&amp;B3807&amp;"_2.mp3","AmE")</f>
        <v/>
      </c>
      <c r="I3807" s="18">
        <f>HYPERLINK("http://dict.youdao.com/w/"&amp;B3807,"有道")</f>
        <v/>
      </c>
    </row>
    <row customHeight="1" ht="28.5" r="3808">
      <c r="A3808" t="inlineStr">
        <is>
          <t>practice</t>
        </is>
      </c>
      <c r="B3808" s="1" t="inlineStr">
        <is>
          <t>fluctuate</t>
        </is>
      </c>
      <c r="C3808" s="17">
        <f>"vi. 波动；涨落；动摇"&amp;CHAR(10)&amp;"vt. 使波动；使动摇"</f>
        <v/>
      </c>
      <c r="G3808" s="18">
        <f>HYPERLINK("D:\python\英语学习\voices\"&amp;B3808&amp;"_1.mp3","BrE")</f>
        <v/>
      </c>
      <c r="H3808" s="18">
        <f>HYPERLINK("D:\python\英语学习\voices\"&amp;B3808&amp;"_2.mp3","AmE")</f>
        <v/>
      </c>
      <c r="I3808" s="18">
        <f>HYPERLINK("http://dict.youdao.com/w/"&amp;B3808,"有道")</f>
        <v/>
      </c>
    </row>
    <row r="3809">
      <c r="B3809" s="1" t="inlineStr">
        <is>
          <t>bewilderment</t>
        </is>
      </c>
      <c r="C3809" s="17">
        <f>"n. 困惑；迷乱；慌张"</f>
        <v/>
      </c>
      <c r="G3809" s="18">
        <f>HYPERLINK("D:\python\英语学习\voices\"&amp;B3809&amp;"_1.mp3","BrE")</f>
        <v/>
      </c>
      <c r="H3809" s="18">
        <f>HYPERLINK("D:\python\英语学习\voices\"&amp;B3809&amp;"_2.mp3","AmE")</f>
        <v/>
      </c>
      <c r="I3809" s="18">
        <f>HYPERLINK("http://dict.youdao.com/w/"&amp;B3809,"有道")</f>
        <v/>
      </c>
    </row>
    <row r="3810">
      <c r="B3810" s="1" t="inlineStr">
        <is>
          <t>buffle</t>
        </is>
      </c>
      <c r="C3810" s="17">
        <f>"n. （法）水牛"</f>
        <v/>
      </c>
      <c r="E3810" t="inlineStr">
        <is>
          <t>'=confused/puzzled</t>
        </is>
      </c>
      <c r="G3810" s="18">
        <f>HYPERLINK("D:\python\英语学习\voices\"&amp;B3810&amp;"_1.mp3","BrE")</f>
        <v/>
      </c>
      <c r="H3810" s="18">
        <f>HYPERLINK("D:\python\英语学习\voices\"&amp;B3810&amp;"_2.mp3","AmE")</f>
        <v/>
      </c>
      <c r="I3810" s="18">
        <f>HYPERLINK("http://dict.youdao.com/w/"&amp;B3810,"有道")</f>
        <v/>
      </c>
    </row>
    <row customHeight="1" ht="99.75" r="3811">
      <c r="B3811" s="1" t="inlineStr">
        <is>
          <t>scrape</t>
        </is>
      </c>
      <c r="C3811" s="17">
        <f>"v. 用工具刮；刮掉；擦伤；挖坑；刮出刺耳声；朝后拢头发；不入调地演奏小提琴；在面包上薄涂一层（黄油）；勉强维持；险胜；将就；（艰难地）凑集；节俭；用程序从网上下载（数据）"&amp;CHAR(10)&amp;"n. 刮掉；擦痕；刮擦声；地面空洞处；薄涂在面包上的黄油；鞠躬；困境；刮宫"</f>
        <v/>
      </c>
      <c r="G3811" s="18">
        <f>HYPERLINK("D:\python\英语学习\voices\"&amp;B3811&amp;"_1.mp3","BrE")</f>
        <v/>
      </c>
      <c r="H3811" s="18">
        <f>HYPERLINK("D:\python\英语学习\voices\"&amp;B3811&amp;"_2.mp3","AmE")</f>
        <v/>
      </c>
      <c r="I3811" s="18">
        <f>HYPERLINK("http://dict.youdao.com/w/"&amp;B3811,"有道")</f>
        <v/>
      </c>
    </row>
    <row r="3812">
      <c r="A3812" t="inlineStr">
        <is>
          <t>practice</t>
        </is>
      </c>
      <c r="B3812" s="1" t="inlineStr">
        <is>
          <t>refute</t>
        </is>
      </c>
      <c r="C3812" s="17">
        <f>"vt. 反驳，驳斥；驳倒"</f>
        <v/>
      </c>
      <c r="G3812" s="18">
        <f>HYPERLINK("D:\python\英语学习\voices\"&amp;B3812&amp;"_1.mp3","BrE")</f>
        <v/>
      </c>
      <c r="H3812" s="18">
        <f>HYPERLINK("D:\python\英语学习\voices\"&amp;B3812&amp;"_2.mp3","AmE")</f>
        <v/>
      </c>
      <c r="I3812" s="18">
        <f>HYPERLINK("http://dict.youdao.com/w/"&amp;B3812,"有道")</f>
        <v/>
      </c>
    </row>
    <row customHeight="1" ht="71.25" r="3813">
      <c r="B3813" s="1" t="inlineStr">
        <is>
          <t>daze</t>
        </is>
      </c>
      <c r="C3813" s="17">
        <f>"v. （尤指感情或身体所受的震撼）使眩晕；使茫然；使惊呆；（尤指因强光而）眼花缭乱"&amp;CHAR(10)&amp;"n. 迷乱，眩晕；迷惑，迷茫"&amp;CHAR(10)&amp;"n. (Daze)（加拿大、美、英、尼、俄、波、马）代兹（人名）"</f>
        <v/>
      </c>
      <c r="G3813" s="18">
        <f>HYPERLINK("D:\python\英语学习\voices\"&amp;B3813&amp;"_1.mp3","BrE")</f>
        <v/>
      </c>
      <c r="H3813" s="18">
        <f>HYPERLINK("D:\python\英语学习\voices\"&amp;B3813&amp;"_2.mp3","AmE")</f>
        <v/>
      </c>
      <c r="I3813" s="18">
        <f>HYPERLINK("http://dict.youdao.com/w/"&amp;B3813,"有道")</f>
        <v/>
      </c>
    </row>
    <row customHeight="1" ht="28.5" r="3814">
      <c r="B3814" s="1" t="inlineStr">
        <is>
          <t>primary</t>
        </is>
      </c>
      <c r="C3814" s="17">
        <f>"adj. 主要的；初级的；基本的"&amp;CHAR(10)&amp;"n. 原色；最主要者"</f>
        <v/>
      </c>
      <c r="E3814" t="inlineStr">
        <is>
          <t>a matter of primary importance 表达重要</t>
        </is>
      </c>
      <c r="G3814" s="18">
        <f>HYPERLINK("D:\python\英语学习\voices\"&amp;B3814&amp;"_1.mp3","BrE")</f>
        <v/>
      </c>
      <c r="H3814" s="18">
        <f>HYPERLINK("D:\python\英语学习\voices\"&amp;B3814&amp;"_2.mp3","AmE")</f>
        <v/>
      </c>
      <c r="I3814" s="18">
        <f>HYPERLINK("http://dict.youdao.com/w/"&amp;B3814,"有道")</f>
        <v/>
      </c>
    </row>
    <row customHeight="1" ht="42.75" r="3815">
      <c r="B3815" s="1" t="inlineStr">
        <is>
          <t>turnover</t>
        </is>
      </c>
      <c r="C3815" s="17">
        <f>"n. 翻覆；[贸易] 营业额；流通量；半圆卷饼；失误"&amp;CHAR(10)&amp;"adj. 翻过来的；可翻转的"</f>
        <v/>
      </c>
      <c r="G3815" s="18">
        <f>HYPERLINK("D:\python\英语学习\voices\"&amp;B3815&amp;"_1.mp3","BrE")</f>
        <v/>
      </c>
      <c r="H3815" s="18">
        <f>HYPERLINK("D:\python\英语学习\voices\"&amp;B3815&amp;"_2.mp3","AmE")</f>
        <v/>
      </c>
      <c r="I3815" s="18">
        <f>HYPERLINK("http://dict.youdao.com/w/"&amp;B3815,"有道")</f>
        <v/>
      </c>
    </row>
    <row customHeight="1" ht="28.5" r="3816">
      <c r="B3816" s="1" t="inlineStr">
        <is>
          <t>concede</t>
        </is>
      </c>
      <c r="C3816" s="17">
        <f>"vt. 承认；退让；给予，容许"&amp;CHAR(10)&amp;"vi. 让步"</f>
        <v/>
      </c>
      <c r="D3816" t="inlineStr">
        <is>
          <t>concession让步</t>
        </is>
      </c>
      <c r="G3816" s="18">
        <f>HYPERLINK("D:\python\英语学习\voices\"&amp;B3816&amp;"_1.mp3","BrE")</f>
        <v/>
      </c>
      <c r="H3816" s="18">
        <f>HYPERLINK("D:\python\英语学习\voices\"&amp;B3816&amp;"_2.mp3","AmE")</f>
        <v/>
      </c>
      <c r="I3816" s="18">
        <f>HYPERLINK("http://dict.youdao.com/w/"&amp;B3816,"有道")</f>
        <v/>
      </c>
    </row>
    <row r="3817">
      <c r="B3817" s="1" t="inlineStr">
        <is>
          <t>predecessor</t>
        </is>
      </c>
      <c r="C3817" s="17">
        <f>"n. 前任，前辈"</f>
        <v/>
      </c>
      <c r="E3817" t="inlineStr">
        <is>
          <t>['predə.sesər]</t>
        </is>
      </c>
      <c r="G3817" s="18">
        <f>HYPERLINK("D:\python\英语学习\voices\"&amp;B3817&amp;"_1.mp3","BrE")</f>
        <v/>
      </c>
      <c r="H3817" s="18">
        <f>HYPERLINK("D:\python\英语学习\voices\"&amp;B3817&amp;"_2.mp3","AmE")</f>
        <v/>
      </c>
      <c r="I3817" s="18">
        <f>HYPERLINK("http://dict.youdao.com/w/"&amp;B3817,"有道")</f>
        <v/>
      </c>
    </row>
    <row customHeight="1" ht="28.5" r="3818">
      <c r="B3818" s="1" t="inlineStr">
        <is>
          <t>grieved</t>
        </is>
      </c>
      <c r="C3818" s="17">
        <f>"adj. 伤心的"&amp;CHAR(10)&amp;"v. 悲伤（grieve的过去式）"</f>
        <v/>
      </c>
      <c r="G3818" s="18">
        <f>HYPERLINK("D:\python\英语学习\voices\"&amp;B3818&amp;"_1.mp3","BrE")</f>
        <v/>
      </c>
      <c r="H3818" s="18">
        <f>HYPERLINK("D:\python\英语学习\voices\"&amp;B3818&amp;"_2.mp3","AmE")</f>
        <v/>
      </c>
      <c r="I3818" s="18">
        <f>HYPERLINK("http://dict.youdao.com/w/"&amp;B3818,"有道")</f>
        <v/>
      </c>
    </row>
    <row customHeight="1" ht="42.75" r="3819">
      <c r="B3819" s="1" t="inlineStr">
        <is>
          <t>smother</t>
        </is>
      </c>
      <c r="C3819" s="17">
        <f>"vt. 使窒息；抑制；（用灰等）闷熄；忍住"&amp;CHAR(10)&amp;"vi. 窒息；被抑制；闷死"&amp;CHAR(10)&amp;"n. 窒息状态；令人窒息的浓烟"</f>
        <v/>
      </c>
      <c r="G3819" s="18">
        <f>HYPERLINK("D:\python\英语学习\voices\"&amp;B3819&amp;"_1.mp3","BrE")</f>
        <v/>
      </c>
      <c r="H3819" s="18">
        <f>HYPERLINK("D:\python\英语学习\voices\"&amp;B3819&amp;"_2.mp3","AmE")</f>
        <v/>
      </c>
      <c r="I3819" s="18">
        <f>HYPERLINK("http://dict.youdao.com/w/"&amp;B3819,"有道")</f>
        <v/>
      </c>
    </row>
    <row r="3820">
      <c r="B3820" s="1" t="inlineStr">
        <is>
          <t>ferocity</t>
        </is>
      </c>
      <c r="C3820" s="17">
        <f>"n. 凶猛；残忍；暴行"</f>
        <v/>
      </c>
      <c r="G3820" s="18">
        <f>HYPERLINK("D:\python\英语学习\voices\"&amp;B3820&amp;"_1.mp3","BrE")</f>
        <v/>
      </c>
      <c r="H3820" s="18">
        <f>HYPERLINK("D:\python\英语学习\voices\"&amp;B3820&amp;"_2.mp3","AmE")</f>
        <v/>
      </c>
      <c r="I3820" s="18">
        <f>HYPERLINK("http://dict.youdao.com/w/"&amp;B3820,"有道")</f>
        <v/>
      </c>
    </row>
    <row r="3821">
      <c r="A3821" t="inlineStr">
        <is>
          <t>unnecessary</t>
        </is>
      </c>
      <c r="B3821" s="1" t="inlineStr">
        <is>
          <t>stronghold</t>
        </is>
      </c>
      <c r="C3821" s="17">
        <f>"n. 要塞；大本营；中心地"</f>
        <v/>
      </c>
      <c r="G3821" s="18">
        <f>HYPERLINK("D:\python\英语学习\voices\"&amp;B3821&amp;"_1.mp3","BrE")</f>
        <v/>
      </c>
      <c r="H3821" s="18">
        <f>HYPERLINK("D:\python\英语学习\voices\"&amp;B3821&amp;"_2.mp3","AmE")</f>
        <v/>
      </c>
      <c r="I3821" s="18">
        <f>HYPERLINK("http://dict.youdao.com/w/"&amp;B3821,"有道")</f>
        <v/>
      </c>
    </row>
    <row customHeight="1" ht="99.75" r="3822">
      <c r="B3822" s="1" t="inlineStr">
        <is>
          <t>suit</t>
        </is>
      </c>
      <c r="C3822" s="17">
        <f>"n. 套装，西装；（从事特定活动时穿的）成套服装；（扑克牌中）所有同花色的牌；一副盔甲；一套蓬帆；诉讼；（非正式）（具影响力的）高级管理人员；追求（尤指求婚）；（诗、文）（向当权者提出的）请愿"&amp;CHAR(10)&amp;"v. 满足（某人）需要；相配，合身；适合；（尤指为特定的活动）穿衣"</f>
        <v/>
      </c>
      <c r="E3822" t="inlineStr">
        <is>
          <t>file a suit 告状</t>
        </is>
      </c>
      <c r="G3822" s="18">
        <f>HYPERLINK("D:\python\英语学习\voices\"&amp;B3822&amp;"_1.mp3","BrE")</f>
        <v/>
      </c>
      <c r="H3822" s="18">
        <f>HYPERLINK("D:\python\英语学习\voices\"&amp;B3822&amp;"_2.mp3","AmE")</f>
        <v/>
      </c>
      <c r="I3822" s="18">
        <f>HYPERLINK("http://dict.youdao.com/w/"&amp;B3822,"有道")</f>
        <v/>
      </c>
    </row>
    <row customHeight="1" ht="28.5" r="3823">
      <c r="B3823" s="1" t="inlineStr">
        <is>
          <t>unilateral</t>
        </is>
      </c>
      <c r="C3823" s="17">
        <f>"adj. 单边的；[植] 单侧的；单方面的；单边音；（父母）单系的"</f>
        <v/>
      </c>
      <c r="G3823" s="18">
        <f>HYPERLINK("D:\python\英语学习\voices\"&amp;B3823&amp;"_1.mp3","BrE")</f>
        <v/>
      </c>
      <c r="H3823" s="18">
        <f>HYPERLINK("D:\python\英语学习\voices\"&amp;B3823&amp;"_2.mp3","AmE")</f>
        <v/>
      </c>
      <c r="I3823" s="18">
        <f>HYPERLINK("http://dict.youdao.com/w/"&amp;B3823,"有道")</f>
        <v/>
      </c>
    </row>
    <row r="3824">
      <c r="B3824" s="1" t="inlineStr">
        <is>
          <t>surmountable</t>
        </is>
      </c>
      <c r="C3824" s="17">
        <f>"adj. 可克服的；可超越的，可战胜的"</f>
        <v/>
      </c>
      <c r="D3824" t="inlineStr">
        <is>
          <t>sur-超，mount-爬上 可超越的</t>
        </is>
      </c>
      <c r="E3824" t="inlineStr">
        <is>
          <t>,with a narrow but insurmountable lead. 小但不可超越的优势</t>
        </is>
      </c>
      <c r="G3824" s="18">
        <f>HYPERLINK("D:\python\英语学习\voices\"&amp;B3824&amp;"_1.mp3","BrE")</f>
        <v/>
      </c>
      <c r="H3824" s="18">
        <f>HYPERLINK("D:\python\英语学习\voices\"&amp;B3824&amp;"_2.mp3","AmE")</f>
        <v/>
      </c>
      <c r="I3824" s="18">
        <f>HYPERLINK("http://dict.youdao.com/w/"&amp;B3824,"有道")</f>
        <v/>
      </c>
    </row>
    <row r="3825">
      <c r="B3825" s="1" t="inlineStr">
        <is>
          <t>aficionado</t>
        </is>
      </c>
      <c r="C3825" s="17">
        <f>"n. 迷；狂热爱好者"</f>
        <v/>
      </c>
      <c r="G3825" s="18">
        <f>HYPERLINK("D:\python\英语学习\voices\"&amp;B3825&amp;"_1.mp3","BrE")</f>
        <v/>
      </c>
      <c r="H3825" s="18">
        <f>HYPERLINK("D:\python\英语学习\voices\"&amp;B3825&amp;"_2.mp3","AmE")</f>
        <v/>
      </c>
      <c r="I3825" s="18">
        <f>HYPERLINK("http://dict.youdao.com/w/"&amp;B3825,"有道")</f>
        <v/>
      </c>
    </row>
    <row r="3826">
      <c r="B3826" s="1" t="inlineStr">
        <is>
          <t>devotee</t>
        </is>
      </c>
      <c r="C3826" s="17">
        <f>"n. 信徒；爱好者"</f>
        <v/>
      </c>
      <c r="G3826" s="18">
        <f>HYPERLINK("D:\python\英语学习\voices\"&amp;B3826&amp;"_1.mp3","BrE")</f>
        <v/>
      </c>
      <c r="H3826" s="18">
        <f>HYPERLINK("D:\python\英语学习\voices\"&amp;B3826&amp;"_2.mp3","AmE")</f>
        <v/>
      </c>
      <c r="I3826" s="18">
        <f>HYPERLINK("http://dict.youdao.com/w/"&amp;B3826,"有道")</f>
        <v/>
      </c>
    </row>
    <row customHeight="1" ht="28.5" r="3827">
      <c r="B3827" s="1" t="inlineStr">
        <is>
          <t>votary</t>
        </is>
      </c>
      <c r="C3827" s="17">
        <f>"n. 崇拜者；出家人"&amp;CHAR(10)&amp;"adj. 立誓任圣职的；誓约的"</f>
        <v/>
      </c>
      <c r="G3827" s="18">
        <f>HYPERLINK("D:\python\英语学习\voices\"&amp;B3827&amp;"_1.mp3","BrE")</f>
        <v/>
      </c>
      <c r="H3827" s="18">
        <f>HYPERLINK("D:\python\英语学习\voices\"&amp;B3827&amp;"_2.mp3","AmE")</f>
        <v/>
      </c>
      <c r="I3827" s="18">
        <f>HYPERLINK("http://dict.youdao.com/w/"&amp;B3827,"有道")</f>
        <v/>
      </c>
    </row>
    <row r="3828">
      <c r="A3828" t="inlineStr">
        <is>
          <t>unnecessary</t>
        </is>
      </c>
      <c r="B3828" s="1" t="inlineStr">
        <is>
          <t>thoroughgoing</t>
        </is>
      </c>
      <c r="C3828" s="17">
        <f>"adj. 完全的，彻底的"</f>
        <v/>
      </c>
      <c r="E3828" t="inlineStr">
        <is>
          <t>'=thorough</t>
        </is>
      </c>
      <c r="G3828" s="18">
        <f>HYPERLINK("D:\python\英语学习\voices\"&amp;B3828&amp;"_1.mp3","BrE")</f>
        <v/>
      </c>
      <c r="H3828" s="18">
        <f>HYPERLINK("D:\python\英语学习\voices\"&amp;B3828&amp;"_2.mp3","AmE")</f>
        <v/>
      </c>
      <c r="I3828" s="18">
        <f>HYPERLINK("http://dict.youdao.com/w/"&amp;B3828,"有道")</f>
        <v/>
      </c>
    </row>
    <row r="3829">
      <c r="B3829" s="1" t="inlineStr">
        <is>
          <t>amputate</t>
        </is>
      </c>
      <c r="C3829" s="17">
        <f>"vt. 截肢；切断；删除"</f>
        <v/>
      </c>
      <c r="G3829" s="18">
        <f>HYPERLINK("D:\python\英语学习\voices\"&amp;B3829&amp;"_1.mp3","BrE")</f>
        <v/>
      </c>
      <c r="H3829" s="18">
        <f>HYPERLINK("D:\python\英语学习\voices\"&amp;B3829&amp;"_2.mp3","AmE")</f>
        <v/>
      </c>
      <c r="I3829" s="18">
        <f>HYPERLINK("http://dict.youdao.com/w/"&amp;B3829,"有道")</f>
        <v/>
      </c>
    </row>
    <row customHeight="1" ht="28.5" r="3830">
      <c r="B3830" s="1" t="inlineStr">
        <is>
          <t>countryman</t>
        </is>
      </c>
      <c r="C3830" s="17">
        <f>"n. 乡下人，农村人；同胞"&amp;CHAR(10)&amp;"n. (Countryman)人名；(英)康特里曼"</f>
        <v/>
      </c>
      <c r="E3830" t="inlineStr">
        <is>
          <t>同胞，a person born in or living in the same country as sb else.</t>
        </is>
      </c>
      <c r="G3830" s="18">
        <f>HYPERLINK("D:\python\英语学习\voices\"&amp;B3830&amp;"_1.mp3","BrE")</f>
        <v/>
      </c>
      <c r="H3830" s="18">
        <f>HYPERLINK("D:\python\英语学习\voices\"&amp;B3830&amp;"_2.mp3","AmE")</f>
        <v/>
      </c>
      <c r="I3830" s="18">
        <f>HYPERLINK("http://dict.youdao.com/w/"&amp;B3830,"有道")</f>
        <v/>
      </c>
    </row>
    <row customHeight="1" ht="28.5" r="3831">
      <c r="B3831" s="1" t="inlineStr">
        <is>
          <t>compatriot</t>
        </is>
      </c>
      <c r="C3831" s="17">
        <f>"n. 同胞；同国人"&amp;CHAR(10)&amp;"adj. 同胞的；同国的"</f>
        <v/>
      </c>
      <c r="G3831" s="18">
        <f>HYPERLINK("D:\python\英语学习\voices\"&amp;B3831&amp;"_1.mp3","BrE")</f>
        <v/>
      </c>
      <c r="H3831" s="18">
        <f>HYPERLINK("D:\python\英语学习\voices\"&amp;B3831&amp;"_2.mp3","AmE")</f>
        <v/>
      </c>
      <c r="I3831" s="18">
        <f>HYPERLINK("http://dict.youdao.com/w/"&amp;B3831,"有道")</f>
        <v/>
      </c>
    </row>
    <row r="3832">
      <c r="B3832" s="1" t="inlineStr">
        <is>
          <t>eavesdrop</t>
        </is>
      </c>
      <c r="C3832" s="17">
        <f>"v. 偷听，窃听"</f>
        <v/>
      </c>
      <c r="G3832" s="18">
        <f>HYPERLINK("D:\python\英语学习\voices\"&amp;B3832&amp;"_1.mp3","BrE")</f>
        <v/>
      </c>
      <c r="H3832" s="18">
        <f>HYPERLINK("D:\python\英语学习\voices\"&amp;B3832&amp;"_2.mp3","AmE")</f>
        <v/>
      </c>
      <c r="I3832" s="18">
        <f>HYPERLINK("http://dict.youdao.com/w/"&amp;B3832,"有道")</f>
        <v/>
      </c>
    </row>
    <row r="3833">
      <c r="B3833" s="1" t="inlineStr">
        <is>
          <t>fine-grained</t>
        </is>
      </c>
      <c r="C3833" s="17">
        <f>"adj. 细粒的；有细密纹理的；详细的；深入的"</f>
        <v/>
      </c>
      <c r="G3833" s="18">
        <f>HYPERLINK("D:\python\英语学习\voices\"&amp;B3833&amp;"_1.mp3","BrE")</f>
        <v/>
      </c>
      <c r="H3833" s="18">
        <f>HYPERLINK("D:\python\英语学习\voices\"&amp;B3833&amp;"_2.mp3","AmE")</f>
        <v/>
      </c>
      <c r="I3833" s="18">
        <f>HYPERLINK("http://dict.youdao.com/w/"&amp;B3833,"有道")</f>
        <v/>
      </c>
    </row>
    <row r="3834">
      <c r="B3834" s="1" t="inlineStr">
        <is>
          <t>coarse-grained</t>
        </is>
      </c>
      <c r="C3834" s="17">
        <f>"adj. 粗鲁的；木纹粗糙的；粗略的，大概的"</f>
        <v/>
      </c>
      <c r="G3834" s="18">
        <f>HYPERLINK("D:\python\英语学习\voices\"&amp;B3834&amp;"_1.mp3","BrE")</f>
        <v/>
      </c>
      <c r="H3834" s="18">
        <f>HYPERLINK("D:\python\英语学习\voices\"&amp;B3834&amp;"_2.mp3","AmE")</f>
        <v/>
      </c>
      <c r="I3834" s="18">
        <f>HYPERLINK("http://dict.youdao.com/w/"&amp;B3834,"有道")</f>
        <v/>
      </c>
    </row>
    <row customHeight="1" ht="42.75" r="3835">
      <c r="B3835" s="1" t="inlineStr">
        <is>
          <t>general</t>
        </is>
      </c>
      <c r="C3835" s="17">
        <f>"adj. 一般的，普通的；综合的；大体的"&amp;CHAR(10)&amp;"n. 一般；将军，上将；常规"&amp;CHAR(10)&amp;"n. (General)人名；(英)杰纳勒尔"</f>
        <v/>
      </c>
      <c r="G3835" s="18">
        <f>HYPERLINK("D:\python\英语学习\voices\"&amp;B3835&amp;"_1.mp3","BrE")</f>
        <v/>
      </c>
      <c r="H3835" s="18">
        <f>HYPERLINK("D:\python\英语学习\voices\"&amp;B3835&amp;"_2.mp3","AmE")</f>
        <v/>
      </c>
      <c r="I3835" s="18">
        <f>HYPERLINK("http://dict.youdao.com/w/"&amp;B3835,"有道")</f>
        <v/>
      </c>
    </row>
    <row r="3836">
      <c r="B3836" s="1" t="inlineStr">
        <is>
          <t>reborn</t>
        </is>
      </c>
      <c r="C3836" s="17">
        <f>"adj. 再生的；更新的"</f>
        <v/>
      </c>
      <c r="E3836" t="inlineStr">
        <is>
          <t>只是形容词，动词是rebirth</t>
        </is>
      </c>
      <c r="G3836" s="18">
        <f>HYPERLINK("D:\python\英语学习\voices\"&amp;B3836&amp;"_1.mp3","BrE")</f>
        <v/>
      </c>
      <c r="H3836" s="18">
        <f>HYPERLINK("D:\python\英语学习\voices\"&amp;B3836&amp;"_2.mp3","AmE")</f>
        <v/>
      </c>
      <c r="I3836" s="18">
        <f>HYPERLINK("http://dict.youdao.com/w/"&amp;B3836,"有道")</f>
        <v/>
      </c>
    </row>
    <row r="3837">
      <c r="B3837" s="1" t="inlineStr">
        <is>
          <t>gluten</t>
        </is>
      </c>
      <c r="C3837" s="17">
        <f>"n. 面筋；麸质；谷蛋白"</f>
        <v/>
      </c>
      <c r="G3837" s="18">
        <f>HYPERLINK("D:\python\英语学习\voices\"&amp;B3837&amp;"_1.mp3","BrE")</f>
        <v/>
      </c>
      <c r="H3837" s="18">
        <f>HYPERLINK("D:\python\英语学习\voices\"&amp;B3837&amp;"_2.mp3","AmE")</f>
        <v/>
      </c>
      <c r="I3837" s="18">
        <f>HYPERLINK("http://dict.youdao.com/w/"&amp;B3837,"有道")</f>
        <v/>
      </c>
    </row>
    <row r="3838">
      <c r="B3838" s="1" t="inlineStr">
        <is>
          <t>substance</t>
        </is>
      </c>
      <c r="C3838" s="17">
        <f>"n. 物质；实质；资产；主旨"</f>
        <v/>
      </c>
      <c r="G3838" s="18">
        <f>HYPERLINK("D:\python\英语学习\voices\"&amp;B3838&amp;"_1.mp3","BrE")</f>
        <v/>
      </c>
      <c r="H3838" s="18">
        <f>HYPERLINK("D:\python\英语学习\voices\"&amp;B3838&amp;"_2.mp3","AmE")</f>
        <v/>
      </c>
      <c r="I3838" s="18">
        <f>HYPERLINK("http://dict.youdao.com/w/"&amp;B3838,"有道")</f>
        <v/>
      </c>
    </row>
    <row r="3839">
      <c r="B3839" s="1" t="inlineStr">
        <is>
          <t>swine</t>
        </is>
      </c>
      <c r="C3839" s="17">
        <f>"n. 猪；卑贱的人"</f>
        <v/>
      </c>
      <c r="G3839" s="18">
        <f>HYPERLINK("D:\python\英语学习\voices\"&amp;B3839&amp;"_1.mp3","BrE")</f>
        <v/>
      </c>
      <c r="H3839" s="18">
        <f>HYPERLINK("D:\python\英语学习\voices\"&amp;B3839&amp;"_2.mp3","AmE")</f>
        <v/>
      </c>
      <c r="I3839" s="18">
        <f>HYPERLINK("http://dict.youdao.com/w/"&amp;B3839,"有道")</f>
        <v/>
      </c>
    </row>
    <row customHeight="1" ht="42.75" r="3840">
      <c r="B3840" s="1" t="inlineStr">
        <is>
          <t>signet</t>
        </is>
      </c>
      <c r="C3840" s="17">
        <f>"n. 印；图章"&amp;CHAR(10)&amp;"vt. 盖章于"&amp;CHAR(10)&amp;"n. (Signet)人名；(法)西涅"</f>
        <v/>
      </c>
      <c r="G3840" s="18">
        <f>HYPERLINK("D:\python\英语学习\voices\"&amp;B3840&amp;"_1.mp3","BrE")</f>
        <v/>
      </c>
      <c r="H3840" s="18">
        <f>HYPERLINK("D:\python\英语学习\voices\"&amp;B3840&amp;"_2.mp3","AmE")</f>
        <v/>
      </c>
      <c r="I3840" s="18">
        <f>HYPERLINK("http://dict.youdao.com/w/"&amp;B3840,"有道")</f>
        <v/>
      </c>
    </row>
    <row r="3841">
      <c r="B3841" s="1" t="inlineStr">
        <is>
          <t>carefree</t>
        </is>
      </c>
      <c r="C3841" s="17">
        <f>"adj. 无忧无虑的；不负责的"</f>
        <v/>
      </c>
      <c r="G3841" s="18">
        <f>HYPERLINK("D:\python\英语学习\voices\"&amp;B3841&amp;"_1.mp3","BrE")</f>
        <v/>
      </c>
      <c r="H3841" s="18">
        <f>HYPERLINK("D:\python\英语学习\voices\"&amp;B3841&amp;"_2.mp3","AmE")</f>
        <v/>
      </c>
      <c r="I3841" s="18">
        <f>HYPERLINK("http://dict.youdao.com/w/"&amp;B3841,"有道")</f>
        <v/>
      </c>
    </row>
    <row customHeight="1" ht="128.25" r="3842">
      <c r="B3842" s="1" t="inlineStr">
        <is>
          <t>sound</t>
        </is>
      </c>
      <c r="C3842" s="17">
        <f>"n. 声音；噪音；音响；海峡；听力范围；医用探子；无线电广播；音响效果"&amp;CHAR(10)&amp;"v. （使）发声；听起来；鸣警报；听（诊）；回响；探测；试探；宣告；（医）用探子检查；（尤指鲸鱼）潜入深海"&amp;CHAR(10)&amp;"adj. 合理的；无损的；有能力的；充足的；彻底的；熟睡的；资金充实的；（非正式）非常棒的；严厉的；健全的"&amp;CHAR(10)&amp;"adv. 彻底地，酣畅地"</f>
        <v/>
      </c>
      <c r="E3842" t="inlineStr">
        <is>
          <t>好多意思</t>
        </is>
      </c>
      <c r="G3842" s="18">
        <f>HYPERLINK("D:\python\英语学习\voices\"&amp;B3842&amp;"_1.mp3","BrE")</f>
        <v/>
      </c>
      <c r="H3842" s="18">
        <f>HYPERLINK("D:\python\英语学习\voices\"&amp;B3842&amp;"_2.mp3","AmE")</f>
        <v/>
      </c>
      <c r="I3842" s="18">
        <f>HYPERLINK("http://dict.youdao.com/w/"&amp;B3842,"有道")</f>
        <v/>
      </c>
    </row>
    <row r="3843">
      <c r="B3843" s="1" t="inlineStr">
        <is>
          <t>lighthearted</t>
        </is>
      </c>
      <c r="C3843" s="17">
        <f>"adj. 快乐的，心情愉快的；无忧无虑的"</f>
        <v/>
      </c>
      <c r="G3843" s="18">
        <f>HYPERLINK("D:\python\英语学习\voices\"&amp;B3843&amp;"_1.mp3","BrE")</f>
        <v/>
      </c>
      <c r="H3843" s="18">
        <f>HYPERLINK("D:\python\英语学习\voices\"&amp;B3843&amp;"_2.mp3","AmE")</f>
        <v/>
      </c>
      <c r="I3843" s="18">
        <f>HYPERLINK("http://dict.youdao.com/w/"&amp;B3843,"有道")</f>
        <v/>
      </c>
    </row>
    <row r="3844">
      <c r="A3844" t="inlineStr">
        <is>
          <t>practice</t>
        </is>
      </c>
      <c r="B3844" s="1" t="inlineStr">
        <is>
          <t>revere</t>
        </is>
      </c>
      <c r="C3844" s="17">
        <f>"vt. 敬畏；尊敬；崇敬"</f>
        <v/>
      </c>
      <c r="G3844" s="18">
        <f>HYPERLINK("D:\python\英语学习\voices\"&amp;B3844&amp;"_1.mp3","BrE")</f>
        <v/>
      </c>
      <c r="H3844" s="18">
        <f>HYPERLINK("D:\python\英语学习\voices\"&amp;B3844&amp;"_2.mp3","AmE")</f>
        <v/>
      </c>
      <c r="I3844" s="18">
        <f>HYPERLINK("http://dict.youdao.com/w/"&amp;B3844,"有道")</f>
        <v/>
      </c>
    </row>
    <row customHeight="1" ht="42.75" r="3845">
      <c r="B3845" s="1" t="inlineStr">
        <is>
          <t>slur</t>
        </is>
      </c>
      <c r="C3845" s="17">
        <f>"v. 含混不清地说话；连奏；诽谤；有意略过（事实）；用连音线标出"&amp;CHAR(10)&amp;"n. 诽谤；吐词含糊；连奏线；污点"</f>
        <v/>
      </c>
      <c r="G3845" s="18">
        <f>HYPERLINK("D:\python\英语学习\voices\"&amp;B3845&amp;"_1.mp3","BrE")</f>
        <v/>
      </c>
      <c r="H3845" s="18">
        <f>HYPERLINK("D:\python\英语学习\voices\"&amp;B3845&amp;"_2.mp3","AmE")</f>
        <v/>
      </c>
      <c r="I3845" s="18">
        <f>HYPERLINK("http://dict.youdao.com/w/"&amp;B3845,"有道")</f>
        <v/>
      </c>
    </row>
    <row r="3846">
      <c r="B3846" s="1" t="inlineStr">
        <is>
          <t>audience</t>
        </is>
      </c>
      <c r="C3846" s="17">
        <f>"n. 观众；听众；读者；接见；正式会见；拜会"</f>
        <v/>
      </c>
      <c r="E3846" t="inlineStr">
        <is>
          <t>可数,表观众群体用the audience不加s</t>
        </is>
      </c>
      <c r="F3846">
        <f>"Her music appeals to a wide audience."</f>
        <v/>
      </c>
      <c r="G3846" s="18">
        <f>HYPERLINK("D:\python\英语学习\voices\"&amp;B3846&amp;"_1.mp3","BrE")</f>
        <v/>
      </c>
      <c r="H3846" s="18">
        <f>HYPERLINK("D:\python\英语学习\voices\"&amp;B3846&amp;"_2.mp3","AmE")</f>
        <v/>
      </c>
      <c r="I3846" s="18">
        <f>HYPERLINK("http://dict.youdao.com/w/"&amp;B3846,"有道")</f>
        <v/>
      </c>
    </row>
    <row customHeight="1" ht="28.5" r="3847">
      <c r="B3847" s="1" t="inlineStr">
        <is>
          <t>quarantine</t>
        </is>
      </c>
      <c r="C3847" s="17">
        <f>"n. 检疫隔离期；隔离；检疫；检疫区，隔离区"&amp;CHAR(10)&amp;"v. 对（动物或人）进行检疫隔离"</f>
        <v/>
      </c>
      <c r="G3847" s="18">
        <f>HYPERLINK("D:\python\英语学习\voices\"&amp;B3847&amp;"_1.mp3","BrE")</f>
        <v/>
      </c>
      <c r="H3847" s="18">
        <f>HYPERLINK("D:\python\英语学习\voices\"&amp;B3847&amp;"_2.mp3","AmE")</f>
        <v/>
      </c>
      <c r="I3847" s="18">
        <f>HYPERLINK("http://dict.youdao.com/w/"&amp;B3847,"有道")</f>
        <v/>
      </c>
    </row>
    <row r="3848">
      <c r="B3848" s="1" t="inlineStr">
        <is>
          <t>superiority</t>
        </is>
      </c>
      <c r="C3848" s="17">
        <f>"n. 优越，优势；优越性"</f>
        <v/>
      </c>
      <c r="G3848" s="18">
        <f>HYPERLINK("D:\python\英语学习\voices\"&amp;B3848&amp;"_1.mp3","BrE")</f>
        <v/>
      </c>
      <c r="H3848" s="18">
        <f>HYPERLINK("D:\python\英语学习\voices\"&amp;B3848&amp;"_2.mp3","AmE")</f>
        <v/>
      </c>
      <c r="I3848" s="18">
        <f>HYPERLINK("http://dict.youdao.com/w/"&amp;B3848,"有道")</f>
        <v/>
      </c>
    </row>
    <row customHeight="1" ht="28.5" r="3849">
      <c r="B3849" s="1" t="inlineStr">
        <is>
          <t>superior</t>
        </is>
      </c>
      <c r="C3849" s="17">
        <f>"adj. 上级的；优秀的，出众的；高傲的"&amp;CHAR(10)&amp;"n. 上级，长官；优胜者，高手；长者"</f>
        <v/>
      </c>
      <c r="E3849" t="inlineStr">
        <is>
          <t>可以替换better</t>
        </is>
      </c>
      <c r="G3849" s="18">
        <f>HYPERLINK("D:\python\英语学习\voices\"&amp;B3849&amp;"_1.mp3","BrE")</f>
        <v/>
      </c>
      <c r="H3849" s="18">
        <f>HYPERLINK("D:\python\英语学习\voices\"&amp;B3849&amp;"_2.mp3","AmE")</f>
        <v/>
      </c>
      <c r="I3849" s="18">
        <f>HYPERLINK("http://dict.youdao.com/w/"&amp;B3849,"有道")</f>
        <v/>
      </c>
    </row>
    <row r="3850">
      <c r="B3850" s="1" t="inlineStr">
        <is>
          <t>publicity</t>
        </is>
      </c>
      <c r="C3850" s="17">
        <f>"n. 宣传，宣扬；公开；广告；注意"</f>
        <v/>
      </c>
      <c r="E3850" t="inlineStr">
        <is>
          <t>宣传，公开性只是一个小意思
without any publicity 不张扬</t>
        </is>
      </c>
      <c r="F3850">
        <f>"It was hard to quietly close to the surface of the body, without any publicity, the quality and elegant as submissive Asian woman.
它悄然无语地紧贴在身体的表面，丝毫不张扬，如同东方女子温顺文雅的品质。"</f>
        <v/>
      </c>
      <c r="G3850" s="18">
        <f>HYPERLINK("D:\python\英语学习\voices\"&amp;B3850&amp;"_1.mp3","BrE")</f>
        <v/>
      </c>
      <c r="H3850" s="18">
        <f>HYPERLINK("D:\python\英语学习\voices\"&amp;B3850&amp;"_2.mp3","AmE")</f>
        <v/>
      </c>
      <c r="I3850" s="18">
        <f>HYPERLINK("http://dict.youdao.com/w/"&amp;B3850,"有道")</f>
        <v/>
      </c>
    </row>
    <row customHeight="1" ht="42.75" r="3851">
      <c r="B3851" s="1" t="inlineStr">
        <is>
          <t>sphere</t>
        </is>
      </c>
      <c r="C3851" s="17">
        <f>"n. 范围；球体"&amp;CHAR(10)&amp;"vt. 包围；放入球内；使…成球形"&amp;CHAR(10)&amp;"adj. 球体的"</f>
        <v/>
      </c>
      <c r="G3851" s="18">
        <f>HYPERLINK("D:\python\英语学习\voices\"&amp;B3851&amp;"_1.mp3","BrE")</f>
        <v/>
      </c>
      <c r="H3851" s="18">
        <f>HYPERLINK("D:\python\英语学习\voices\"&amp;B3851&amp;"_2.mp3","AmE")</f>
        <v/>
      </c>
      <c r="I3851" s="18">
        <f>HYPERLINK("http://dict.youdao.com/w/"&amp;B3851,"有道")</f>
        <v/>
      </c>
    </row>
    <row customHeight="1" ht="42.75" r="3852">
      <c r="B3852" s="1" t="inlineStr">
        <is>
          <t>distracted</t>
        </is>
      </c>
      <c r="C3852" s="17">
        <f>"v. （使）分心；转移（注意力）；（使）困惑（distract 的过去式及过去分词）"&amp;CHAR(10)&amp;"adj. 注意力分散的；心烦意乱的"</f>
        <v/>
      </c>
      <c r="G3852" s="18">
        <f>HYPERLINK("D:\python\英语学习\voices\"&amp;B3852&amp;"_1.mp3","BrE")</f>
        <v/>
      </c>
      <c r="H3852" s="18">
        <f>HYPERLINK("D:\python\英语学习\voices\"&amp;B3852&amp;"_2.mp3","AmE")</f>
        <v/>
      </c>
      <c r="I3852" s="18">
        <f>HYPERLINK("http://dict.youdao.com/w/"&amp;B3852,"有道")</f>
        <v/>
      </c>
    </row>
    <row r="3853">
      <c r="B3853" s="1" t="inlineStr">
        <is>
          <t>distract</t>
        </is>
      </c>
      <c r="C3853" s="17">
        <f>"vt. 转移；分心"</f>
        <v/>
      </c>
      <c r="G3853" s="18">
        <f>HYPERLINK("D:\python\英语学习\voices\"&amp;B3853&amp;"_1.mp3","BrE")</f>
        <v/>
      </c>
      <c r="H3853" s="18">
        <f>HYPERLINK("D:\python\英语学习\voices\"&amp;B3853&amp;"_2.mp3","AmE")</f>
        <v/>
      </c>
      <c r="I3853" s="18">
        <f>HYPERLINK("http://dict.youdao.com/w/"&amp;B3853,"有道")</f>
        <v/>
      </c>
    </row>
    <row customHeight="1" ht="57" r="3854">
      <c r="B3854" s="1" t="inlineStr">
        <is>
          <t>marshal</t>
        </is>
      </c>
      <c r="C3854" s="17">
        <f>"n. 元帅；司仪"&amp;CHAR(10)&amp;"vt. 整理；引领；编列"&amp;CHAR(10)&amp;"vi. 排列"&amp;CHAR(10)&amp;"n. (Marshal)人名；(英)马歇尔"</f>
        <v/>
      </c>
      <c r="G3854" s="18">
        <f>HYPERLINK("D:\python\英语学习\voices\"&amp;B3854&amp;"_1.mp3","BrE")</f>
        <v/>
      </c>
      <c r="H3854" s="18">
        <f>HYPERLINK("D:\python\英语学习\voices\"&amp;B3854&amp;"_2.mp3","AmE")</f>
        <v/>
      </c>
      <c r="I3854" s="18">
        <f>HYPERLINK("http://dict.youdao.com/w/"&amp;B3854,"有道")</f>
        <v/>
      </c>
    </row>
    <row customHeight="1" ht="28.5" r="3855">
      <c r="B3855" s="1" t="inlineStr">
        <is>
          <t>redundant</t>
        </is>
      </c>
      <c r="C3855" s="17">
        <f>"adj. 多余的，过剩的；被解雇的，失业的；冗长的，累赘的"</f>
        <v/>
      </c>
      <c r="G3855" s="18">
        <f>HYPERLINK("D:\python\英语学习\voices\"&amp;B3855&amp;"_1.mp3","BrE")</f>
        <v/>
      </c>
      <c r="H3855" s="18">
        <f>HYPERLINK("D:\python\英语学习\voices\"&amp;B3855&amp;"_2.mp3","AmE")</f>
        <v/>
      </c>
      <c r="I3855" s="18">
        <f>HYPERLINK("http://dict.youdao.com/w/"&amp;B3855,"有道")</f>
        <v/>
      </c>
    </row>
    <row r="3856">
      <c r="B3856" s="1" t="inlineStr">
        <is>
          <t>terrific</t>
        </is>
      </c>
      <c r="C3856" s="17">
        <f>"adj. 极好的；极其的，非常的；可怕的"</f>
        <v/>
      </c>
      <c r="G3856" s="18">
        <f>HYPERLINK("D:\python\英语学习\voices\"&amp;B3856&amp;"_1.mp3","BrE")</f>
        <v/>
      </c>
      <c r="H3856" s="18">
        <f>HYPERLINK("D:\python\英语学习\voices\"&amp;B3856&amp;"_2.mp3","AmE")</f>
        <v/>
      </c>
      <c r="I3856" s="18">
        <f>HYPERLINK("http://dict.youdao.com/w/"&amp;B3856,"有道")</f>
        <v/>
      </c>
    </row>
    <row customHeight="1" ht="28.5" r="3857">
      <c r="B3857" s="1" t="inlineStr">
        <is>
          <t>adverse</t>
        </is>
      </c>
      <c r="C3857" s="17">
        <f>"adj. 不利的；相反的；敌对的（名词adverseness，副词adversely）"</f>
        <v/>
      </c>
      <c r="G3857" s="18">
        <f>HYPERLINK("D:\python\英语学习\voices\"&amp;B3857&amp;"_1.mp3","BrE")</f>
        <v/>
      </c>
      <c r="H3857" s="18">
        <f>HYPERLINK("D:\python\英语学习\voices\"&amp;B3857&amp;"_2.mp3","AmE")</f>
        <v/>
      </c>
      <c r="I3857" s="18">
        <f>HYPERLINK("http://dict.youdao.com/w/"&amp;B3857,"有道")</f>
        <v/>
      </c>
    </row>
    <row customHeight="1" ht="28.5" r="3858">
      <c r="B3858" s="1" t="inlineStr">
        <is>
          <t>crude</t>
        </is>
      </c>
      <c r="C3858" s="17">
        <f>"adj. 粗糙的；天然的，未加工的；粗鲁的"&amp;CHAR(10)&amp;"n. 原油；天然的物质"</f>
        <v/>
      </c>
      <c r="G3858" s="18">
        <f>HYPERLINK("D:\python\英语学习\voices\"&amp;B3858&amp;"_1.mp3","BrE")</f>
        <v/>
      </c>
      <c r="H3858" s="18">
        <f>HYPERLINK("D:\python\英语学习\voices\"&amp;B3858&amp;"_2.mp3","AmE")</f>
        <v/>
      </c>
      <c r="I3858" s="18">
        <f>HYPERLINK("http://dict.youdao.com/w/"&amp;B3858,"有道")</f>
        <v/>
      </c>
    </row>
    <row customHeight="1" ht="42.75" r="3859">
      <c r="B3859" s="1" t="inlineStr">
        <is>
          <t>mediate</t>
        </is>
      </c>
      <c r="C3859" s="17">
        <f>"vi. 调解；斡旋；居中"&amp;CHAR(10)&amp;"vt. 调停；传达"&amp;CHAR(10)&amp;"adj. 间接的；居间的"</f>
        <v/>
      </c>
      <c r="G3859" s="18">
        <f>HYPERLINK("D:\python\英语学习\voices\"&amp;B3859&amp;"_1.mp3","BrE")</f>
        <v/>
      </c>
      <c r="H3859" s="18">
        <f>HYPERLINK("D:\python\英语学习\voices\"&amp;B3859&amp;"_2.mp3","AmE")</f>
        <v/>
      </c>
      <c r="I3859" s="18">
        <f>HYPERLINK("http://dict.youdao.com/w/"&amp;B3859,"有道")</f>
        <v/>
      </c>
    </row>
    <row customHeight="1" ht="57" r="3860">
      <c r="B3860" s="1" t="inlineStr">
        <is>
          <t>sneak</t>
        </is>
      </c>
      <c r="C3860" s="17">
        <f>"vi. 溜；鬼鬼祟祟做事；向老师打小报告"&amp;CHAR(10)&amp;"vt. 偷偷地做；偷偷取得"&amp;CHAR(10)&amp;"n. 鬼鬼祟祟的人；偷偷摸摸的行为；告密者"&amp;CHAR(10)&amp;"adj. 暗中进行的"</f>
        <v/>
      </c>
      <c r="G3860" s="18">
        <f>HYPERLINK("D:\python\英语学习\voices\"&amp;B3860&amp;"_1.mp3","BrE")</f>
        <v/>
      </c>
      <c r="H3860" s="18">
        <f>HYPERLINK("D:\python\英语学习\voices\"&amp;B3860&amp;"_2.mp3","AmE")</f>
        <v/>
      </c>
      <c r="I3860" s="18">
        <f>HYPERLINK("http://dict.youdao.com/w/"&amp;B3860,"有道")</f>
        <v/>
      </c>
    </row>
    <row customHeight="1" ht="28.5" r="3861">
      <c r="B3861" s="1" t="inlineStr">
        <is>
          <t>curb</t>
        </is>
      </c>
      <c r="C3861" s="17">
        <f>"n. 抑制；路边；勒马绳"&amp;CHAR(10)&amp;"vt. 控制；勒住"</f>
        <v/>
      </c>
      <c r="G3861" s="18">
        <f>HYPERLINK("D:\python\英语学习\voices\"&amp;B3861&amp;"_1.mp3","BrE")</f>
        <v/>
      </c>
      <c r="H3861" s="18">
        <f>HYPERLINK("D:\python\英语学习\voices\"&amp;B3861&amp;"_2.mp3","AmE")</f>
        <v/>
      </c>
      <c r="I3861" s="18">
        <f>HYPERLINK("http://dict.youdao.com/w/"&amp;B3861,"有道")</f>
        <v/>
      </c>
    </row>
    <row customHeight="1" ht="28.5" r="3862">
      <c r="B3862" s="1" t="inlineStr">
        <is>
          <t>defect</t>
        </is>
      </c>
      <c r="C3862" s="17">
        <f>"n. 缺点，缺陷；不足之处"&amp;CHAR(10)&amp;"vi. 变节；叛变"</f>
        <v/>
      </c>
      <c r="G3862" s="18">
        <f>HYPERLINK("D:\python\英语学习\voices\"&amp;B3862&amp;"_1.mp3","BrE")</f>
        <v/>
      </c>
      <c r="H3862" s="18">
        <f>HYPERLINK("D:\python\英语学习\voices\"&amp;B3862&amp;"_2.mp3","AmE")</f>
        <v/>
      </c>
      <c r="I3862" s="18">
        <f>HYPERLINK("http://dict.youdao.com/w/"&amp;B3862,"有道")</f>
        <v/>
      </c>
    </row>
    <row r="3863">
      <c r="B3863" s="1" t="inlineStr">
        <is>
          <t>collocation</t>
        </is>
      </c>
      <c r="C3863" s="17">
        <f>"n. 搭配；配置；排列"</f>
        <v/>
      </c>
      <c r="G3863" s="18">
        <f>HYPERLINK("D:\python\英语学习\voices\"&amp;B3863&amp;"_1.mp3","BrE")</f>
        <v/>
      </c>
      <c r="H3863" s="18">
        <f>HYPERLINK("D:\python\英语学习\voices\"&amp;B3863&amp;"_2.mp3","AmE")</f>
        <v/>
      </c>
      <c r="I3863" s="18">
        <f>HYPERLINK("http://dict.youdao.com/w/"&amp;B3863,"有道")</f>
        <v/>
      </c>
    </row>
    <row customHeight="1" ht="28.5" r="3864">
      <c r="B3864" s="1" t="inlineStr">
        <is>
          <t>concordance</t>
        </is>
      </c>
      <c r="C3864" s="17">
        <f>"n. 调和，一致；用语索引；著作或作家全集的重要用字索引"</f>
        <v/>
      </c>
      <c r="G3864" s="18">
        <f>HYPERLINK("D:\python\英语学习\voices\"&amp;B3864&amp;"_1.mp3","BrE")</f>
        <v/>
      </c>
      <c r="H3864" s="18">
        <f>HYPERLINK("D:\python\英语学习\voices\"&amp;B3864&amp;"_2.mp3","AmE")</f>
        <v/>
      </c>
      <c r="I3864" s="18">
        <f>HYPERLINK("http://dict.youdao.com/w/"&amp;B3864,"有道")</f>
        <v/>
      </c>
    </row>
    <row customHeight="1" ht="42.75" r="3865">
      <c r="B3865" s="1" t="inlineStr">
        <is>
          <t>fate</t>
        </is>
      </c>
      <c r="C3865" s="17">
        <f>"n. 命运"&amp;CHAR(10)&amp;"vt. 注定"&amp;CHAR(10)&amp;"n. (Fate)人名；(英)费特"</f>
        <v/>
      </c>
      <c r="E3865" t="inlineStr">
        <is>
          <t>尤指厄运，tragic fate</t>
        </is>
      </c>
      <c r="G3865" s="18">
        <f>HYPERLINK("D:\python\英语学习\voices\"&amp;B3865&amp;"_1.mp3","BrE")</f>
        <v/>
      </c>
      <c r="H3865" s="18">
        <f>HYPERLINK("D:\python\英语学习\voices\"&amp;B3865&amp;"_2.mp3","AmE")</f>
        <v/>
      </c>
      <c r="I3865" s="18">
        <f>HYPERLINK("http://dict.youdao.com/w/"&amp;B3865,"有道")</f>
        <v/>
      </c>
    </row>
    <row r="3866">
      <c r="B3866" s="1" t="inlineStr">
        <is>
          <t>loftily</t>
        </is>
      </c>
      <c r="C3866" s="17">
        <f>"adv. 高尚地；傲慢地"</f>
        <v/>
      </c>
      <c r="D3866" t="inlineStr">
        <is>
          <t>lofty-巍峨的高耸的</t>
        </is>
      </c>
      <c r="G3866" s="18">
        <f>HYPERLINK("D:\python\英语学习\voices\"&amp;B3866&amp;"_1.mp3","BrE")</f>
        <v/>
      </c>
      <c r="H3866" s="18">
        <f>HYPERLINK("D:\python\英语学习\voices\"&amp;B3866&amp;"_2.mp3","AmE")</f>
        <v/>
      </c>
      <c r="I3866" s="18">
        <f>HYPERLINK("http://dict.youdao.com/w/"&amp;B3866,"有道")</f>
        <v/>
      </c>
    </row>
    <row customHeight="1" ht="42.75" r="3867">
      <c r="B3867" s="1" t="inlineStr">
        <is>
          <t>slope</t>
        </is>
      </c>
      <c r="C3867" s="17">
        <f>"n. 斜坡；倾斜；斜率；扛枪姿势"&amp;CHAR(10)&amp;"vi. 倾斜；逃走"&amp;CHAR(10)&amp;"vt. 倾斜；使倾斜；扛"</f>
        <v/>
      </c>
      <c r="G3867" s="18">
        <f>HYPERLINK("D:\python\英语学习\voices\"&amp;B3867&amp;"_1.mp3","BrE")</f>
        <v/>
      </c>
      <c r="H3867" s="18">
        <f>HYPERLINK("D:\python\英语学习\voices\"&amp;B3867&amp;"_2.mp3","AmE")</f>
        <v/>
      </c>
      <c r="I3867" s="18">
        <f>HYPERLINK("http://dict.youdao.com/w/"&amp;B3867,"有道")</f>
        <v/>
      </c>
    </row>
    <row r="3868">
      <c r="B3868" s="1" t="inlineStr">
        <is>
          <t>respective</t>
        </is>
      </c>
      <c r="C3868" s="17">
        <f>"adj. 分别的，各自的"</f>
        <v/>
      </c>
      <c r="G3868" s="18">
        <f>HYPERLINK("D:\python\英语学习\voices\"&amp;B3868&amp;"_1.mp3","BrE")</f>
        <v/>
      </c>
      <c r="H3868" s="18">
        <f>HYPERLINK("D:\python\英语学习\voices\"&amp;B3868&amp;"_2.mp3","AmE")</f>
        <v/>
      </c>
      <c r="I3868" s="18">
        <f>HYPERLINK("http://dict.youdao.com/w/"&amp;B3868,"有道")</f>
        <v/>
      </c>
    </row>
    <row customHeight="1" ht="42.75" r="3869">
      <c r="B3869" s="1" t="inlineStr">
        <is>
          <t>discord</t>
        </is>
      </c>
      <c r="C3869" s="17">
        <f>"n. 不和；不调和；嘈杂声"&amp;CHAR(10)&amp;"vi. 不一致；刺耳"&amp;CHAR(10)&amp;"n. (Discord)人名；(法)迪斯科尔"</f>
        <v/>
      </c>
      <c r="G3869" s="18">
        <f>HYPERLINK("D:\python\英语学习\voices\"&amp;B3869&amp;"_1.mp3","BrE")</f>
        <v/>
      </c>
      <c r="H3869" s="18">
        <f>HYPERLINK("D:\python\英语学习\voices\"&amp;B3869&amp;"_2.mp3","AmE")</f>
        <v/>
      </c>
      <c r="I3869" s="18">
        <f>HYPERLINK("http://dict.youdao.com/w/"&amp;B3869,"有道")</f>
        <v/>
      </c>
    </row>
    <row r="3870">
      <c r="B3870" s="1" t="inlineStr">
        <is>
          <t>well-being</t>
        </is>
      </c>
      <c r="C3870" s="17">
        <f>"n. 幸福；康乐"</f>
        <v/>
      </c>
      <c r="G3870" s="18">
        <f>HYPERLINK("D:\python\英语学习\voices\"&amp;B3870&amp;"_1.mp3","BrE")</f>
        <v/>
      </c>
      <c r="H3870" s="18">
        <f>HYPERLINK("D:\python\英语学习\voices\"&amp;B3870&amp;"_2.mp3","AmE")</f>
        <v/>
      </c>
      <c r="I3870" s="18">
        <f>HYPERLINK("http://dict.youdao.com/w/"&amp;B3870,"有道")</f>
        <v/>
      </c>
    </row>
    <row customHeight="1" ht="42.75" r="3871">
      <c r="B3871" s="1" t="inlineStr">
        <is>
          <t>vicious</t>
        </is>
      </c>
      <c r="C3871" s="17">
        <f>"adj. 恶毒的；恶意的；堕落的；有错误的；品性不端的；剧烈的"&amp;CHAR(10)&amp;"n. (Vicious)人名；(英)维舍斯"</f>
        <v/>
      </c>
      <c r="G3871" s="18">
        <f>HYPERLINK("D:\python\英语学习\voices\"&amp;B3871&amp;"_1.mp3","BrE")</f>
        <v/>
      </c>
      <c r="H3871" s="18">
        <f>HYPERLINK("D:\python\英语学习\voices\"&amp;B3871&amp;"_2.mp3","AmE")</f>
        <v/>
      </c>
      <c r="I3871" s="18">
        <f>HYPERLINK("http://dict.youdao.com/w/"&amp;B3871,"有道")</f>
        <v/>
      </c>
    </row>
    <row r="3872">
      <c r="B3872" s="1" t="inlineStr">
        <is>
          <t>viciously</t>
        </is>
      </c>
      <c r="C3872" s="17">
        <f>"adv. 邪恶地；敌意地"</f>
        <v/>
      </c>
      <c r="G3872" s="18">
        <f>HYPERLINK("D:\python\英语学习\voices\"&amp;B3872&amp;"_1.mp3","BrE")</f>
        <v/>
      </c>
      <c r="H3872" s="18">
        <f>HYPERLINK("D:\python\英语学习\voices\"&amp;B3872&amp;"_2.mp3","AmE")</f>
        <v/>
      </c>
      <c r="I3872" s="18">
        <f>HYPERLINK("http://dict.youdao.com/w/"&amp;B3872,"有道")</f>
        <v/>
      </c>
    </row>
    <row customHeight="1" ht="28.5" r="3873">
      <c r="B3873" s="1" t="inlineStr">
        <is>
          <t>progressive</t>
        </is>
      </c>
      <c r="C3873" s="17">
        <f>"adj. 进步的；先进的"&amp;CHAR(10)&amp;"n. 改革论者；进步分子"</f>
        <v/>
      </c>
      <c r="G3873" s="18">
        <f>HYPERLINK("D:\python\英语学习\voices\"&amp;B3873&amp;"_1.mp3","BrE")</f>
        <v/>
      </c>
      <c r="H3873" s="18">
        <f>HYPERLINK("D:\python\英语学习\voices\"&amp;B3873&amp;"_2.mp3","AmE")</f>
        <v/>
      </c>
      <c r="I3873" s="18">
        <f>HYPERLINK("http://dict.youdao.com/w/"&amp;B3873,"有道")</f>
        <v/>
      </c>
    </row>
    <row r="3874">
      <c r="B3874" s="1" t="inlineStr">
        <is>
          <t>economic</t>
        </is>
      </c>
      <c r="C3874" s="17">
        <f>"adj. 经济的，经济上的；经济学的"</f>
        <v/>
      </c>
      <c r="G3874" s="18">
        <f>HYPERLINK("D:\python\英语学习\voices\"&amp;B3874&amp;"_1.mp3","BrE")</f>
        <v/>
      </c>
      <c r="H3874" s="18">
        <f>HYPERLINK("D:\python\英语学习\voices\"&amp;B3874&amp;"_2.mp3","AmE")</f>
        <v/>
      </c>
      <c r="I3874" s="18">
        <f>HYPERLINK("http://dict.youdao.com/w/"&amp;B3874,"有道")</f>
        <v/>
      </c>
    </row>
    <row r="3875">
      <c r="B3875" s="1" t="inlineStr">
        <is>
          <t>unbiased</t>
        </is>
      </c>
      <c r="C3875" s="17">
        <f>"adj. 公正的；无偏见的"</f>
        <v/>
      </c>
      <c r="G3875" s="18">
        <f>HYPERLINK("D:\python\英语学习\voices\"&amp;B3875&amp;"_1.mp3","BrE")</f>
        <v/>
      </c>
      <c r="H3875" s="18">
        <f>HYPERLINK("D:\python\英语学习\voices\"&amp;B3875&amp;"_2.mp3","AmE")</f>
        <v/>
      </c>
      <c r="I3875" s="18">
        <f>HYPERLINK("http://dict.youdao.com/w/"&amp;B3875,"有道")</f>
        <v/>
      </c>
    </row>
    <row r="3876">
      <c r="B3876" s="1" t="inlineStr">
        <is>
          <t>liaison</t>
        </is>
      </c>
      <c r="C3876" s="17">
        <f>"n. 联络；（语言）连音"</f>
        <v/>
      </c>
      <c r="G3876" s="18">
        <f>HYPERLINK("D:\python\英语学习\voices\"&amp;B3876&amp;"_1.mp3","BrE")</f>
        <v/>
      </c>
      <c r="H3876" s="18">
        <f>HYPERLINK("D:\python\英语学习\voices\"&amp;B3876&amp;"_2.mp3","AmE")</f>
        <v/>
      </c>
      <c r="I3876" s="18">
        <f>HYPERLINK("http://dict.youdao.com/w/"&amp;B3876,"有道")</f>
        <v/>
      </c>
    </row>
    <row r="3877">
      <c r="B3877" s="1" t="inlineStr">
        <is>
          <t>cordially</t>
        </is>
      </c>
      <c r="C3877" s="17">
        <f>"adv. 诚挚地，诚恳地；友善地"</f>
        <v/>
      </c>
      <c r="G3877" s="18">
        <f>HYPERLINK("D:\python\英语学习\voices\"&amp;B3877&amp;"_1.mp3","BrE")</f>
        <v/>
      </c>
      <c r="H3877" s="18">
        <f>HYPERLINK("D:\python\英语学习\voices\"&amp;B3877&amp;"_2.mp3","AmE")</f>
        <v/>
      </c>
      <c r="I3877" s="18">
        <f>HYPERLINK("http://dict.youdao.com/w/"&amp;B3877,"有道")</f>
        <v/>
      </c>
    </row>
    <row customHeight="1" ht="85.5" r="3878">
      <c r="B3878" s="1" t="inlineStr">
        <is>
          <t>yielding</t>
        </is>
      </c>
      <c r="C3878" s="17">
        <f>"adj. 易弯曲的；柔软的；顺从的；带来……收成（或利润等）的"&amp;CHAR(10)&amp;"n. 屈服；让步"&amp;CHAR(10)&amp;"v. 出产（作物），产生（收益）；屈从； 给（大路上的车辆）让路（yield 的现在分词）"&amp;CHAR(10)&amp;"n. (Yielding) （美）伊尔丁（人名）"</f>
        <v/>
      </c>
      <c r="G3878" s="18">
        <f>HYPERLINK("D:\python\英语学习\voices\"&amp;B3878&amp;"_1.mp3","BrE")</f>
        <v/>
      </c>
      <c r="H3878" s="18">
        <f>HYPERLINK("D:\python\英语学习\voices\"&amp;B3878&amp;"_2.mp3","AmE")</f>
        <v/>
      </c>
      <c r="I3878" s="18">
        <f>HYPERLINK("http://dict.youdao.com/w/"&amp;B3878,"有道")</f>
        <v/>
      </c>
    </row>
    <row customHeight="1" ht="28.5" r="3879">
      <c r="B3879" s="1" t="inlineStr">
        <is>
          <t>ostentatious</t>
        </is>
      </c>
      <c r="C3879" s="17">
        <f>"adj. 招摇的；卖弄的；夸耀的；铺张的；惹人注目的"</f>
        <v/>
      </c>
      <c r="G3879" s="18">
        <f>HYPERLINK("D:\python\英语学习\voices\"&amp;B3879&amp;"_1.mp3","BrE")</f>
        <v/>
      </c>
      <c r="H3879" s="18">
        <f>HYPERLINK("D:\python\英语学习\voices\"&amp;B3879&amp;"_2.mp3","AmE")</f>
        <v/>
      </c>
      <c r="I3879" s="18">
        <f>HYPERLINK("http://dict.youdao.com/w/"&amp;B3879,"有道")</f>
        <v/>
      </c>
    </row>
    <row customHeight="1" ht="28.5" r="3880">
      <c r="A3880" t="inlineStr">
        <is>
          <t>unnecessary</t>
        </is>
      </c>
      <c r="B3880" s="1" t="inlineStr">
        <is>
          <t>livery</t>
        </is>
      </c>
      <c r="C3880" s="17">
        <f>"n. 制服；侍从"&amp;CHAR(10)&amp;"adj. 有肝病症状的"</f>
        <v/>
      </c>
      <c r="G3880" s="18">
        <f>HYPERLINK("D:\python\英语学习\voices\"&amp;B3880&amp;"_1.mp3","BrE")</f>
        <v/>
      </c>
      <c r="H3880" s="18">
        <f>HYPERLINK("D:\python\英语学习\voices\"&amp;B3880&amp;"_2.mp3","AmE")</f>
        <v/>
      </c>
      <c r="I3880" s="18">
        <f>HYPERLINK("http://dict.youdao.com/w/"&amp;B3880,"有道")</f>
        <v/>
      </c>
    </row>
    <row r="3881">
      <c r="B3881" s="1" t="inlineStr">
        <is>
          <t>unsavory</t>
        </is>
      </c>
      <c r="C3881" s="17">
        <f>"adj. 难吃的；没有香味的；令人讨厌的"</f>
        <v/>
      </c>
      <c r="F3881">
        <f>"Actually, I did overhear a couple of lads at work remarking on a few unsavory characters settling in the neighborhood. --WandaVision S01E02"</f>
        <v/>
      </c>
      <c r="G3881" s="18">
        <f>HYPERLINK("D:\python\英语学习\voices\"&amp;B3881&amp;"_1.mp3","BrE")</f>
        <v/>
      </c>
      <c r="H3881" s="18">
        <f>HYPERLINK("D:\python\英语学习\voices\"&amp;B3881&amp;"_2.mp3","AmE")</f>
        <v/>
      </c>
      <c r="I3881" s="18">
        <f>HYPERLINK("http://dict.youdao.com/w/"&amp;B3881,"有道")</f>
        <v/>
      </c>
    </row>
    <row customHeight="1" ht="28.5" r="3882">
      <c r="B3882" s="1" t="inlineStr">
        <is>
          <t>charade</t>
        </is>
      </c>
      <c r="C3882" s="17">
        <f>"n. 装模作样，做戏；打哑谜猜字游戏"&amp;CHAR(10)&amp;"n. (Charade) （加、法、美）谢拉德（人名）"</f>
        <v/>
      </c>
      <c r="G3882" s="18">
        <f>HYPERLINK("D:\python\英语学习\voices\"&amp;B3882&amp;"_1.mp3","BrE")</f>
        <v/>
      </c>
      <c r="H3882" s="18">
        <f>HYPERLINK("D:\python\英语学习\voices\"&amp;B3882&amp;"_2.mp3","AmE")</f>
        <v/>
      </c>
      <c r="I3882" s="18">
        <f>HYPERLINK("http://dict.youdao.com/w/"&amp;B3882,"有道")</f>
        <v/>
      </c>
    </row>
    <row r="3883">
      <c r="B3883" s="1" t="inlineStr">
        <is>
          <t>neighborly</t>
        </is>
      </c>
      <c r="C3883" s="17">
        <f>"adj. 睦邻的；友好的；邻居似的"</f>
        <v/>
      </c>
      <c r="E3883" t="inlineStr">
        <is>
          <t>neighborly duty 社区义务？</t>
        </is>
      </c>
      <c r="G3883" s="18">
        <f>HYPERLINK("D:\python\英语学习\voices\"&amp;B3883&amp;"_1.mp3","BrE")</f>
        <v/>
      </c>
      <c r="H3883" s="18">
        <f>HYPERLINK("D:\python\英语学习\voices\"&amp;B3883&amp;"_2.mp3","AmE")</f>
        <v/>
      </c>
      <c r="I3883" s="18">
        <f>HYPERLINK("http://dict.youdao.com/w/"&amp;B3883,"有道")</f>
        <v/>
      </c>
    </row>
    <row customHeight="1" ht="42.75" r="3884">
      <c r="B3884" s="1" t="inlineStr">
        <is>
          <t>snuff</t>
        </is>
      </c>
      <c r="C3884" s="17">
        <f>"vt. 剪烛花；掐灭；消灭；嗅出"&amp;CHAR(10)&amp;"n. 鼻烟；烛花；灯花"&amp;CHAR(10)&amp;"vi. 扑灭；断气；嗅"</f>
        <v/>
      </c>
      <c r="E3884" t="inlineStr">
        <is>
          <t>up tp snuff 状态良好的，正常的</t>
        </is>
      </c>
      <c r="G3884" s="18">
        <f>HYPERLINK("D:\python\英语学习\voices\"&amp;B3884&amp;"_1.mp3","BrE")</f>
        <v/>
      </c>
      <c r="H3884" s="18">
        <f>HYPERLINK("D:\python\英语学习\voices\"&amp;B3884&amp;"_2.mp3","AmE")</f>
        <v/>
      </c>
      <c r="I3884" s="18">
        <f>HYPERLINK("http://dict.youdao.com/w/"&amp;B3884,"有道")</f>
        <v/>
      </c>
    </row>
    <row r="3885">
      <c r="B3885" s="1" t="inlineStr">
        <is>
          <t>baccalaureate</t>
        </is>
      </c>
      <c r="C3885" s="17">
        <f>"n. 学士学位；对毕业班的致辞"</f>
        <v/>
      </c>
      <c r="G3885" s="18">
        <f>HYPERLINK("D:\python\英语学习\voices\"&amp;B3885&amp;"_1.mp3","BrE")</f>
        <v/>
      </c>
      <c r="H3885" s="18">
        <f>HYPERLINK("D:\python\英语学习\voices\"&amp;B3885&amp;"_2.mp3","AmE")</f>
        <v/>
      </c>
      <c r="I3885" s="18">
        <f>HYPERLINK("http://dict.youdao.com/w/"&amp;B3885,"有道")</f>
        <v/>
      </c>
    </row>
    <row customHeight="1" ht="28.5" r="3886">
      <c r="B3886" s="1" t="inlineStr">
        <is>
          <t>sodden</t>
        </is>
      </c>
      <c r="C3886" s="17">
        <f>"adj. 浸透的；浑身湿透的；浸过酒的"&amp;CHAR(10)&amp;"vt. 使浸透；使迷糊"</f>
        <v/>
      </c>
      <c r="G3886" s="18">
        <f>HYPERLINK("D:\python\英语学习\voices\"&amp;B3886&amp;"_1.mp3","BrE")</f>
        <v/>
      </c>
      <c r="H3886" s="18">
        <f>HYPERLINK("D:\python\英语学习\voices\"&amp;B3886&amp;"_2.mp3","AmE")</f>
        <v/>
      </c>
      <c r="I3886" s="18">
        <f>HYPERLINK("http://dict.youdao.com/w/"&amp;B3886,"有道")</f>
        <v/>
      </c>
    </row>
    <row r="3887">
      <c r="B3887" s="1" t="inlineStr">
        <is>
          <t>ethereal</t>
        </is>
      </c>
      <c r="C3887" s="17">
        <f>"adj. 优雅的；轻飘的；缥缈的；超凡的"</f>
        <v/>
      </c>
      <c r="G3887" s="18">
        <f>HYPERLINK("D:\python\英语学习\voices\"&amp;B3887&amp;"_1.mp3","BrE")</f>
        <v/>
      </c>
      <c r="H3887" s="18">
        <f>HYPERLINK("D:\python\英语学习\voices\"&amp;B3887&amp;"_2.mp3","AmE")</f>
        <v/>
      </c>
      <c r="I3887" s="18">
        <f>HYPERLINK("http://dict.youdao.com/w/"&amp;B3887,"有道")</f>
        <v/>
      </c>
    </row>
    <row customHeight="1" ht="57" r="3888">
      <c r="B3888" s="1" t="inlineStr">
        <is>
          <t>moth</t>
        </is>
      </c>
      <c r="C3888" s="17">
        <f>"n. 蛾；蛀虫"</f>
        <v/>
      </c>
      <c r="E3888" s="7" t="inlineStr">
        <is>
          <t>moth-eaten被虫蛀的，破烂的，+teeth蛀牙
moss才是莫斯</t>
        </is>
      </c>
      <c r="G3888" s="18">
        <f>HYPERLINK("D:\python\英语学习\voices\"&amp;B3888&amp;"_1.mp3","BrE")</f>
        <v/>
      </c>
      <c r="H3888" s="18">
        <f>HYPERLINK("D:\python\英语学习\voices\"&amp;B3888&amp;"_2.mp3","AmE")</f>
        <v/>
      </c>
      <c r="I3888" s="18">
        <f>HYPERLINK("http://dict.youdao.com/w/"&amp;B3888,"有道")</f>
        <v/>
      </c>
    </row>
    <row customHeight="1" ht="57" r="3889">
      <c r="B3889" s="1" t="inlineStr">
        <is>
          <t>lair</t>
        </is>
      </c>
      <c r="C3889" s="17">
        <f>"n. （野兽的）[动] 巢穴；躲藏处"&amp;CHAR(10)&amp;"vi. 进入兽穴；在穴中休息"&amp;CHAR(10)&amp;"vt. 使陷入泥潭；放于穴中"&amp;CHAR(10)&amp;"n. (Lair)人名；(英、法)莱尔"</f>
        <v/>
      </c>
      <c r="G3889" s="18">
        <f>HYPERLINK("D:\python\英语学习\voices\"&amp;B3889&amp;"_1.mp3","BrE")</f>
        <v/>
      </c>
      <c r="H3889" s="18">
        <f>HYPERLINK("D:\python\英语学习\voices\"&amp;B3889&amp;"_2.mp3","AmE")</f>
        <v/>
      </c>
      <c r="I3889" s="18">
        <f>HYPERLINK("http://dict.youdao.com/w/"&amp;B3889,"有道")</f>
        <v/>
      </c>
    </row>
    <row customHeight="1" ht="57" r="3890">
      <c r="B3890" s="1" t="inlineStr">
        <is>
          <t>salutary</t>
        </is>
      </c>
      <c r="C3890" s="17">
        <f>"adj. 有益的，有用的；有益健康的"</f>
        <v/>
      </c>
      <c r="E3890" s="7" t="inlineStr">
        <is>
          <t>有益的（尽管往往让人不愉快）
注意发音 很奇怪sal-u-tary</t>
        </is>
      </c>
      <c r="G3890" s="18">
        <f>HYPERLINK("D:\python\英语学习\voices\"&amp;B3890&amp;"_1.mp3","BrE")</f>
        <v/>
      </c>
      <c r="H3890" s="18">
        <f>HYPERLINK("D:\python\英语学习\voices\"&amp;B3890&amp;"_2.mp3","AmE")</f>
        <v/>
      </c>
      <c r="I3890" s="18">
        <f>HYPERLINK("http://dict.youdao.com/w/"&amp;B3890,"有道")</f>
        <v/>
      </c>
    </row>
    <row r="3891">
      <c r="B3891" s="1" t="inlineStr">
        <is>
          <t>demerit</t>
        </is>
      </c>
      <c r="C3891" s="17">
        <f>"n. 缺点，短处；过失"</f>
        <v/>
      </c>
      <c r="G3891" s="18">
        <f>HYPERLINK("D:\python\英语学习\voices\"&amp;B3891&amp;"_1.mp3","BrE")</f>
        <v/>
      </c>
      <c r="H3891" s="18">
        <f>HYPERLINK("D:\python\英语学习\voices\"&amp;B3891&amp;"_2.mp3","AmE")</f>
        <v/>
      </c>
      <c r="I3891" s="18">
        <f>HYPERLINK("http://dict.youdao.com/w/"&amp;B3891,"有道")</f>
        <v/>
      </c>
    </row>
    <row r="3892">
      <c r="B3892" s="1" t="inlineStr">
        <is>
          <t>loathe</t>
        </is>
      </c>
      <c r="C3892" s="17">
        <f>"vt. 讨厌，厌恶"</f>
        <v/>
      </c>
      <c r="G3892" s="18">
        <f>HYPERLINK("D:\python\英语学习\voices\"&amp;B3892&amp;"_1.mp3","BrE")</f>
        <v/>
      </c>
      <c r="H3892" s="18">
        <f>HYPERLINK("D:\python\英语学习\voices\"&amp;B3892&amp;"_2.mp3","AmE")</f>
        <v/>
      </c>
      <c r="I3892" s="18">
        <f>HYPERLINK("http://dict.youdao.com/w/"&amp;B3892,"有道")</f>
        <v/>
      </c>
    </row>
    <row r="3893">
      <c r="B3893" s="1" t="inlineStr">
        <is>
          <t>detest</t>
        </is>
      </c>
      <c r="C3893" s="17">
        <f>"vt. 厌恶；憎恨"</f>
        <v/>
      </c>
      <c r="E3893" t="inlineStr">
        <is>
          <t>'=very hate</t>
        </is>
      </c>
      <c r="G3893" s="18">
        <f>HYPERLINK("D:\python\英语学习\voices\"&amp;B3893&amp;"_1.mp3","BrE")</f>
        <v/>
      </c>
      <c r="H3893" s="18">
        <f>HYPERLINK("D:\python\英语学习\voices\"&amp;B3893&amp;"_2.mp3","AmE")</f>
        <v/>
      </c>
      <c r="I3893" s="18">
        <f>HYPERLINK("http://dict.youdao.com/w/"&amp;B3893,"有道")</f>
        <v/>
      </c>
    </row>
    <row r="3894">
      <c r="B3894" s="1" t="inlineStr">
        <is>
          <t>dreadful</t>
        </is>
      </c>
      <c r="C3894" s="17">
        <f>"adj. 可怕的；糟透的，令人不快的"</f>
        <v/>
      </c>
      <c r="E3894" t="inlineStr">
        <is>
          <t>完全替换bad，程度更深</t>
        </is>
      </c>
      <c r="G3894" s="18">
        <f>HYPERLINK("D:\python\英语学习\voices\"&amp;B3894&amp;"_1.mp3","BrE")</f>
        <v/>
      </c>
      <c r="H3894" s="18">
        <f>HYPERLINK("D:\python\英语学习\voices\"&amp;B3894&amp;"_2.mp3","AmE")</f>
        <v/>
      </c>
      <c r="I3894" s="18">
        <f>HYPERLINK("http://dict.youdao.com/w/"&amp;B3894,"有道")</f>
        <v/>
      </c>
    </row>
    <row customHeight="1" ht="28.5" r="3895">
      <c r="B3895" s="1" t="inlineStr">
        <is>
          <t>essential</t>
        </is>
      </c>
      <c r="C3895" s="17">
        <f>"adj. 基本的；必要的；本质的；精华的"&amp;CHAR(10)&amp;"n. 本质；要素；要点；必需品"</f>
        <v/>
      </c>
      <c r="E3895" t="inlineStr">
        <is>
          <t>注意拼写，是t不是c</t>
        </is>
      </c>
      <c r="G3895" s="18">
        <f>HYPERLINK("D:\python\英语学习\voices\"&amp;B3895&amp;"_1.mp3","BrE")</f>
        <v/>
      </c>
      <c r="H3895" s="18">
        <f>HYPERLINK("D:\python\英语学习\voices\"&amp;B3895&amp;"_2.mp3","AmE")</f>
        <v/>
      </c>
      <c r="I3895" s="18">
        <f>HYPERLINK("http://dict.youdao.com/w/"&amp;B3895,"有道")</f>
        <v/>
      </c>
    </row>
    <row r="3896">
      <c r="B3896" s="1" t="inlineStr">
        <is>
          <t>advertent</t>
        </is>
      </c>
      <c r="C3896" s="17">
        <f>"adj. 留意的；注意的"</f>
        <v/>
      </c>
      <c r="G3896" s="18">
        <f>HYPERLINK("D:\python\英语学习\voices\"&amp;B3896&amp;"_1.mp3","BrE")</f>
        <v/>
      </c>
      <c r="H3896" s="18">
        <f>HYPERLINK("D:\python\英语学习\voices\"&amp;B3896&amp;"_2.mp3","AmE")</f>
        <v/>
      </c>
      <c r="I3896" s="18">
        <f>HYPERLINK("http://dict.youdao.com/w/"&amp;B3896,"有道")</f>
        <v/>
      </c>
    </row>
    <row customHeight="1" ht="28.5" r="3897">
      <c r="A3897" t="inlineStr">
        <is>
          <t>practice</t>
        </is>
      </c>
      <c r="B3897" s="1" t="inlineStr">
        <is>
          <t>inadvertent</t>
        </is>
      </c>
      <c r="C3897" s="17">
        <f>"adj. 疏忽的；不注意的（副词inadvertently）；无意中做的"</f>
        <v/>
      </c>
      <c r="G3897" s="18">
        <f>HYPERLINK("D:\python\英语学习\voices\"&amp;B3897&amp;"_1.mp3","BrE")</f>
        <v/>
      </c>
      <c r="H3897" s="18">
        <f>HYPERLINK("D:\python\英语学习\voices\"&amp;B3897&amp;"_2.mp3","AmE")</f>
        <v/>
      </c>
      <c r="I3897" s="18">
        <f>HYPERLINK("http://dict.youdao.com/w/"&amp;B3897,"有道")</f>
        <v/>
      </c>
    </row>
    <row r="3898">
      <c r="B3898" s="1" t="inlineStr">
        <is>
          <t>mimicry</t>
        </is>
      </c>
      <c r="C3898" s="17">
        <f>"n. 模仿，模拟；（动物等）拟态伪装"</f>
        <v/>
      </c>
      <c r="E3898" t="inlineStr">
        <is>
          <t>mimic的名词</t>
        </is>
      </c>
      <c r="G3898" s="18">
        <f>HYPERLINK("D:\python\英语学习\voices\"&amp;B3898&amp;"_1.mp3","BrE")</f>
        <v/>
      </c>
      <c r="H3898" s="18">
        <f>HYPERLINK("D:\python\英语学习\voices\"&amp;B3898&amp;"_2.mp3","AmE")</f>
        <v/>
      </c>
      <c r="I3898" s="18">
        <f>HYPERLINK("http://dict.youdao.com/w/"&amp;B3898,"有道")</f>
        <v/>
      </c>
    </row>
    <row customHeight="1" ht="42.75" r="3899">
      <c r="B3899" s="1" t="inlineStr">
        <is>
          <t>serene</t>
        </is>
      </c>
      <c r="C3899" s="17">
        <f>"adj. 平静的；安详的；清澈的；晴朗的"&amp;CHAR(10)&amp;"n. 平静；晴朗"&amp;CHAR(10)&amp;"vt. 使平静"</f>
        <v/>
      </c>
      <c r="G3899" s="18">
        <f>HYPERLINK("D:\python\英语学习\voices\"&amp;B3899&amp;"_1.mp3","BrE")</f>
        <v/>
      </c>
      <c r="H3899" s="18">
        <f>HYPERLINK("D:\python\英语学习\voices\"&amp;B3899&amp;"_2.mp3","AmE")</f>
        <v/>
      </c>
      <c r="I3899" s="18">
        <f>HYPERLINK("http://dict.youdao.com/w/"&amp;B3899,"有道")</f>
        <v/>
      </c>
    </row>
    <row customHeight="1" ht="42.75" r="3900">
      <c r="A3900" t="inlineStr">
        <is>
          <t>unnecessary</t>
        </is>
      </c>
      <c r="B3900" s="1" t="inlineStr">
        <is>
          <t>camouflage</t>
        </is>
      </c>
      <c r="C3900" s="17">
        <f>"n. 伪装，掩饰"&amp;CHAR(10)&amp;"vt. 伪装，掩饰"&amp;CHAR(10)&amp;"vi. 伪装起来"</f>
        <v/>
      </c>
      <c r="E3900" s="6" t="inlineStr">
        <is>
          <t>迷彩</t>
        </is>
      </c>
      <c r="G3900" s="18">
        <f>HYPERLINK("D:\python\英语学习\voices\"&amp;B3900&amp;"_1.mp3","BrE")</f>
        <v/>
      </c>
      <c r="H3900" s="18">
        <f>HYPERLINK("D:\python\英语学习\voices\"&amp;B3900&amp;"_2.mp3","AmE")</f>
        <v/>
      </c>
      <c r="I3900" s="18">
        <f>HYPERLINK("http://dict.youdao.com/w/"&amp;B3900,"有道")</f>
        <v/>
      </c>
    </row>
    <row r="3901">
      <c r="B3901" s="1" t="inlineStr">
        <is>
          <t>inanely</t>
        </is>
      </c>
      <c r="C3901" s="17">
        <f>"adv. 空洞地；愚蠢地"</f>
        <v/>
      </c>
      <c r="G3901" s="18">
        <f>HYPERLINK("D:\python\英语学习\voices\"&amp;B3901&amp;"_1.mp3","BrE")</f>
        <v/>
      </c>
      <c r="H3901" s="18">
        <f>HYPERLINK("D:\python\英语学习\voices\"&amp;B3901&amp;"_2.mp3","AmE")</f>
        <v/>
      </c>
      <c r="I3901" s="18">
        <f>HYPERLINK("http://dict.youdao.com/w/"&amp;B3901,"有道")</f>
        <v/>
      </c>
    </row>
    <row customHeight="1" ht="28.5" r="3902">
      <c r="B3902" s="1" t="inlineStr">
        <is>
          <t>reprimand</t>
        </is>
      </c>
      <c r="C3902" s="17">
        <f>"n. 谴责；训斥；申诉"&amp;CHAR(10)&amp;"vt. 谴责；训斥；责难"</f>
        <v/>
      </c>
      <c r="G3902" s="18">
        <f>HYPERLINK("D:\python\英语学习\voices\"&amp;B3902&amp;"_1.mp3","BrE")</f>
        <v/>
      </c>
      <c r="H3902" s="18">
        <f>HYPERLINK("D:\python\英语学习\voices\"&amp;B3902&amp;"_2.mp3","AmE")</f>
        <v/>
      </c>
      <c r="I3902" s="18">
        <f>HYPERLINK("http://dict.youdao.com/w/"&amp;B3902,"有道")</f>
        <v/>
      </c>
    </row>
    <row customHeight="1" ht="42.75" r="3903">
      <c r="B3903" s="1" t="inlineStr">
        <is>
          <t>romance</t>
        </is>
      </c>
      <c r="C3903" s="17">
        <f>"n. 传奇；浪漫史；风流韵事；冒险故事"&amp;CHAR(10)&amp;"vi. 虚构；渲染；写传奇"&amp;CHAR(10)&amp;"n. (Romance)人名；(西)罗曼塞"</f>
        <v/>
      </c>
      <c r="G3903" s="18">
        <f>HYPERLINK("D:\python\英语学习\voices\"&amp;B3903&amp;"_1.mp3","BrE")</f>
        <v/>
      </c>
      <c r="H3903" s="18">
        <f>HYPERLINK("D:\python\英语学习\voices\"&amp;B3903&amp;"_2.mp3","AmE")</f>
        <v/>
      </c>
      <c r="I3903" s="18">
        <f>HYPERLINK("http://dict.youdao.com/w/"&amp;B3903,"有道")</f>
        <v/>
      </c>
    </row>
    <row customHeight="1" ht="28.5" r="3904">
      <c r="B3904" s="1" t="inlineStr">
        <is>
          <t>puncture</t>
        </is>
      </c>
      <c r="C3904" s="17">
        <f>"n. （轮胎被扎的）小孔；刺痕；刺伤"&amp;CHAR(10)&amp;"v. 刺穿；（被）戳破；使突然泄气；打断"</f>
        <v/>
      </c>
      <c r="G3904" s="18">
        <f>HYPERLINK("D:\python\英语学习\voices\"&amp;B3904&amp;"_1.mp3","BrE")</f>
        <v/>
      </c>
      <c r="H3904" s="18">
        <f>HYPERLINK("D:\python\英语学习\voices\"&amp;B3904&amp;"_2.mp3","AmE")</f>
        <v/>
      </c>
      <c r="I3904" s="18">
        <f>HYPERLINK("http://dict.youdao.com/w/"&amp;B3904,"有道")</f>
        <v/>
      </c>
    </row>
    <row customHeight="1" ht="57" r="3905">
      <c r="B3905" s="1" t="inlineStr">
        <is>
          <t>haggard</t>
        </is>
      </c>
      <c r="C3905" s="17">
        <f>"adj. 憔悴的；（鹰）未驯服的"&amp;CHAR(10)&amp;"n. 野鹰；难相处的人；农民在农舍旁储放农作物的一块圈地"&amp;CHAR(10)&amp;"n. (Haggard) （美）哈格德（人名）"</f>
        <v/>
      </c>
      <c r="G3905" s="18">
        <f>HYPERLINK("D:\python\英语学习\voices\"&amp;B3905&amp;"_1.mp3","BrE")</f>
        <v/>
      </c>
      <c r="H3905" s="18">
        <f>HYPERLINK("D:\python\英语学习\voices\"&amp;B3905&amp;"_2.mp3","AmE")</f>
        <v/>
      </c>
      <c r="I3905" s="18">
        <f>HYPERLINK("http://dict.youdao.com/w/"&amp;B3905,"有道")</f>
        <v/>
      </c>
    </row>
    <row r="3906">
      <c r="B3906" s="1" t="inlineStr">
        <is>
          <t>requite</t>
        </is>
      </c>
      <c r="C3906" s="17">
        <f>"vt. 报答，回报；酬谢"</f>
        <v/>
      </c>
      <c r="G3906" s="18">
        <f>HYPERLINK("D:\python\英语学习\voices\"&amp;B3906&amp;"_1.mp3","BrE")</f>
        <v/>
      </c>
      <c r="H3906" s="18">
        <f>HYPERLINK("D:\python\英语学习\voices\"&amp;B3906&amp;"_2.mp3","AmE")</f>
        <v/>
      </c>
      <c r="I3906" s="18">
        <f>HYPERLINK("http://dict.youdao.com/w/"&amp;B3906,"有道")</f>
        <v/>
      </c>
    </row>
    <row customHeight="1" ht="42.75" r="3907">
      <c r="B3907" s="1" t="inlineStr">
        <is>
          <t>iridescent</t>
        </is>
      </c>
      <c r="C3907" s="17">
        <f>"adj. （因光线不同而）色彩斑斓的"&amp;CHAR(10)&amp;"adj. 彩虹色的"&amp;CHAR(10)&amp;"adj. 荧光色的"</f>
        <v/>
      </c>
      <c r="G3907" s="18">
        <f>HYPERLINK("D:\python\英语学习\voices\"&amp;B3907&amp;"_1.mp3","BrE")</f>
        <v/>
      </c>
      <c r="H3907" s="18">
        <f>HYPERLINK("D:\python\英语学习\voices\"&amp;B3907&amp;"_2.mp3","AmE")</f>
        <v/>
      </c>
      <c r="I3907" s="18">
        <f>HYPERLINK("http://dict.youdao.com/w/"&amp;B3907,"有道")</f>
        <v/>
      </c>
    </row>
    <row r="3908">
      <c r="B3908" s="1" t="inlineStr">
        <is>
          <t>conductive</t>
        </is>
      </c>
      <c r="C3908" s="17">
        <f>"adj. 传导的；传导性的；有传导力的"</f>
        <v/>
      </c>
      <c r="G3908" s="18">
        <f>HYPERLINK("D:\python\英语学习\voices\"&amp;B3908&amp;"_1.mp3","BrE")</f>
        <v/>
      </c>
      <c r="H3908" s="18">
        <f>HYPERLINK("D:\python\英语学习\voices\"&amp;B3908&amp;"_2.mp3","AmE")</f>
        <v/>
      </c>
      <c r="I3908" s="18">
        <f>HYPERLINK("http://dict.youdao.com/w/"&amp;B3908,"有道")</f>
        <v/>
      </c>
    </row>
    <row customHeight="1" ht="28.5" r="3909">
      <c r="B3909" s="1" t="inlineStr">
        <is>
          <t>welter</t>
        </is>
      </c>
      <c r="C3909" s="17">
        <f>"v. 翻滚；倒在血泊中（无助）；沉溺；起伏"&amp;CHAR(10)&amp;"n. 杂乱的一堆；一片混乱；翻滚；起伏"</f>
        <v/>
      </c>
      <c r="G3909" s="18">
        <f>HYPERLINK("D:\python\英语学习\voices\"&amp;B3909&amp;"_1.mp3","BrE")</f>
        <v/>
      </c>
      <c r="H3909" s="18">
        <f>HYPERLINK("D:\python\英语学习\voices\"&amp;B3909&amp;"_2.mp3","AmE")</f>
        <v/>
      </c>
      <c r="I3909" s="18">
        <f>HYPERLINK("http://dict.youdao.com/w/"&amp;B3909,"有道")</f>
        <v/>
      </c>
    </row>
    <row customHeight="1" ht="42.75" r="3910">
      <c r="B3910" s="1" t="inlineStr">
        <is>
          <t>regale</t>
        </is>
      </c>
      <c r="C3910" s="17">
        <f>"vt. 取悦；盛情款待"&amp;CHAR(10)&amp;"vi. 参加宴会；享用；享受"&amp;CHAR(10)&amp;"n. 款待"</f>
        <v/>
      </c>
      <c r="G3910" s="18">
        <f>HYPERLINK("D:\python\英语学习\voices\"&amp;B3910&amp;"_1.mp3","BrE")</f>
        <v/>
      </c>
      <c r="H3910" s="18">
        <f>HYPERLINK("D:\python\英语学习\voices\"&amp;B3910&amp;"_2.mp3","AmE")</f>
        <v/>
      </c>
      <c r="I3910" s="18">
        <f>HYPERLINK("http://dict.youdao.com/w/"&amp;B3910,"有道")</f>
        <v/>
      </c>
    </row>
    <row r="3911">
      <c r="B3911" s="1" t="inlineStr">
        <is>
          <t>fickleness</t>
        </is>
      </c>
      <c r="C3911" s="17">
        <f>"n. 浮躁；变化无常"</f>
        <v/>
      </c>
      <c r="G3911" s="18">
        <f>HYPERLINK("D:\python\英语学习\voices\"&amp;B3911&amp;"_1.mp3","BrE")</f>
        <v/>
      </c>
      <c r="H3911" s="18">
        <f>HYPERLINK("D:\python\英语学习\voices\"&amp;B3911&amp;"_2.mp3","AmE")</f>
        <v/>
      </c>
      <c r="I3911" s="18">
        <f>HYPERLINK("http://dict.youdao.com/w/"&amp;B3911,"有道")</f>
        <v/>
      </c>
    </row>
    <row customHeight="1" ht="28.5" r="3912">
      <c r="B3912" s="1" t="inlineStr">
        <is>
          <t>importune</t>
        </is>
      </c>
      <c r="C3912" s="17">
        <f>"vi. 强求；胡搅蛮缠"&amp;CHAR(10)&amp;"vt. 强求；一再向某人要求"</f>
        <v/>
      </c>
      <c r="G3912" s="18">
        <f>HYPERLINK("D:\python\英语学习\voices\"&amp;B3912&amp;"_1.mp3","BrE")</f>
        <v/>
      </c>
      <c r="H3912" s="18">
        <f>HYPERLINK("D:\python\英语学习\voices\"&amp;B3912&amp;"_2.mp3","AmE")</f>
        <v/>
      </c>
      <c r="I3912" s="18">
        <f>HYPERLINK("http://dict.youdao.com/w/"&amp;B3912,"有道")</f>
        <v/>
      </c>
    </row>
    <row customHeight="1" ht="42.75" r="3913">
      <c r="A3913" t="inlineStr">
        <is>
          <t>unnecessary</t>
        </is>
      </c>
      <c r="B3913" s="1" t="inlineStr">
        <is>
          <t>cinder</t>
        </is>
      </c>
      <c r="C3913" s="17">
        <f>"n. 煤渣；灰烬"&amp;CHAR(10)&amp;"vt. 用煤渣等铺"&amp;CHAR(10)&amp;"vi. 用煤渣等铺路面"</f>
        <v/>
      </c>
      <c r="G3913" s="18">
        <f>HYPERLINK("D:\python\英语学习\voices\"&amp;B3913&amp;"_1.mp3","BrE")</f>
        <v/>
      </c>
      <c r="H3913" s="18">
        <f>HYPERLINK("D:\python\英语学习\voices\"&amp;B3913&amp;"_2.mp3","AmE")</f>
        <v/>
      </c>
      <c r="I3913" s="18">
        <f>HYPERLINK("http://dict.youdao.com/w/"&amp;B3913,"有道")</f>
        <v/>
      </c>
    </row>
    <row customHeight="1" ht="28.5" r="3914">
      <c r="B3914" s="1" t="inlineStr">
        <is>
          <t>erratic</t>
        </is>
      </c>
      <c r="C3914" s="17">
        <f>"adj. 不稳定的；古怪的"&amp;CHAR(10)&amp;"n. 漂泊无定的人；古怪的人"</f>
        <v/>
      </c>
      <c r="G3914" s="18">
        <f>HYPERLINK("D:\python\英语学习\voices\"&amp;B3914&amp;"_1.mp3","BrE")</f>
        <v/>
      </c>
      <c r="H3914" s="18">
        <f>HYPERLINK("D:\python\英语学习\voices\"&amp;B3914&amp;"_2.mp3","AmE")</f>
        <v/>
      </c>
      <c r="I3914" s="18">
        <f>HYPERLINK("http://dict.youdao.com/w/"&amp;B3914,"有道")</f>
        <v/>
      </c>
    </row>
    <row customHeight="1" ht="28.5" r="3915">
      <c r="B3915" s="1" t="inlineStr">
        <is>
          <t>tattle</t>
        </is>
      </c>
      <c r="C3915" s="17">
        <f>"vi. 闲谈；泄露秘密"&amp;CHAR(10)&amp;"n. 闲谈"</f>
        <v/>
      </c>
      <c r="G3915" s="18">
        <f>HYPERLINK("D:\python\英语学习\voices\"&amp;B3915&amp;"_1.mp3","BrE")</f>
        <v/>
      </c>
      <c r="H3915" s="18">
        <f>HYPERLINK("D:\python\英语学习\voices\"&amp;B3915&amp;"_2.mp3","AmE")</f>
        <v/>
      </c>
      <c r="I3915" s="18">
        <f>HYPERLINK("http://dict.youdao.com/w/"&amp;B3915,"有道")</f>
        <v/>
      </c>
    </row>
    <row r="3916">
      <c r="B3916" s="1" t="inlineStr">
        <is>
          <t>rendition</t>
        </is>
      </c>
      <c r="C3916" s="17">
        <f>"n. 译文；演奏；提供；引渡逃奴"</f>
        <v/>
      </c>
      <c r="G3916" s="18">
        <f>HYPERLINK("D:\python\英语学习\voices\"&amp;B3916&amp;"_1.mp3","BrE")</f>
        <v/>
      </c>
      <c r="H3916" s="18">
        <f>HYPERLINK("D:\python\英语学习\voices\"&amp;B3916&amp;"_2.mp3","AmE")</f>
        <v/>
      </c>
      <c r="I3916" s="18">
        <f>HYPERLINK("http://dict.youdao.com/w/"&amp;B3916,"有道")</f>
        <v/>
      </c>
    </row>
    <row r="3917">
      <c r="B3917" s="1" t="inlineStr">
        <is>
          <t>beatific</t>
        </is>
      </c>
      <c r="C3917" s="17">
        <f>"adj. 幸福的；祝福的；快乐的"</f>
        <v/>
      </c>
      <c r="G3917" s="18">
        <f>HYPERLINK("D:\python\英语学习\voices\"&amp;B3917&amp;"_1.mp3","BrE")</f>
        <v/>
      </c>
      <c r="H3917" s="18">
        <f>HYPERLINK("D:\python\英语学习\voices\"&amp;B3917&amp;"_2.mp3","AmE")</f>
        <v/>
      </c>
      <c r="I3917" s="18">
        <f>HYPERLINK("http://dict.youdao.com/w/"&amp;B3917,"有道")</f>
        <v/>
      </c>
    </row>
    <row customHeight="1" ht="42.75" r="3918">
      <c r="B3918" s="1" t="inlineStr">
        <is>
          <t>goof</t>
        </is>
      </c>
      <c r="C3918" s="17">
        <f>"v. 犯愚蠢的错误；闲荡；过量服用（违禁药品）"&amp;CHAR(10)&amp;"n. 愚蠢的错误；傻瓜，蠢人"</f>
        <v/>
      </c>
      <c r="G3918" s="18">
        <f>HYPERLINK("D:\python\英语学习\voices\"&amp;B3918&amp;"_1.mp3","BrE")</f>
        <v/>
      </c>
      <c r="H3918" s="18">
        <f>HYPERLINK("D:\python\英语学习\voices\"&amp;B3918&amp;"_2.mp3","AmE")</f>
        <v/>
      </c>
      <c r="I3918" s="18">
        <f>HYPERLINK("http://dict.youdao.com/w/"&amp;B3918,"有道")</f>
        <v/>
      </c>
    </row>
    <row customHeight="1" ht="42.75" r="3919">
      <c r="B3919" s="1" t="inlineStr">
        <is>
          <t>undulate</t>
        </is>
      </c>
      <c r="C3919" s="17">
        <f>"vi. 起伏，波动；震动；呈波浪形"&amp;CHAR(10)&amp;"vt. 波动；使波动；使起伏；使成波浪形"&amp;CHAR(10)&amp;"adj. 波动的；起伏的；波浪形的"</f>
        <v/>
      </c>
      <c r="G3919" s="18">
        <f>HYPERLINK("D:\python\英语学习\voices\"&amp;B3919&amp;"_1.mp3","BrE")</f>
        <v/>
      </c>
      <c r="H3919" s="18">
        <f>HYPERLINK("D:\python\英语学习\voices\"&amp;B3919&amp;"_2.mp3","AmE")</f>
        <v/>
      </c>
      <c r="I3919" s="18">
        <f>HYPERLINK("http://dict.youdao.com/w/"&amp;B3919,"有道")</f>
        <v/>
      </c>
    </row>
    <row customHeight="1" ht="28.5" r="3920">
      <c r="B3920" s="1" t="inlineStr">
        <is>
          <t>stasis</t>
        </is>
      </c>
      <c r="C3920" s="17">
        <f>"n. 静止状态（或时期）；郁积；内乱"&amp;CHAR(10)&amp;"n. (Stasis) （美）斯塔西斯（人名）"</f>
        <v/>
      </c>
      <c r="G3920" s="18">
        <f>HYPERLINK("D:\python\英语学习\voices\"&amp;B3920&amp;"_1.mp3","BrE")</f>
        <v/>
      </c>
      <c r="H3920" s="18">
        <f>HYPERLINK("D:\python\英语学习\voices\"&amp;B3920&amp;"_2.mp3","AmE")</f>
        <v/>
      </c>
      <c r="I3920" s="18">
        <f>HYPERLINK("http://dict.youdao.com/w/"&amp;B3920,"有道")</f>
        <v/>
      </c>
    </row>
    <row r="3921">
      <c r="B3921" s="1" t="inlineStr">
        <is>
          <t>rescind</t>
        </is>
      </c>
      <c r="C3921" s="17">
        <f>"vt. 解除；废除；撤回"</f>
        <v/>
      </c>
      <c r="G3921" s="18">
        <f>HYPERLINK("D:\python\英语学习\voices\"&amp;B3921&amp;"_1.mp3","BrE")</f>
        <v/>
      </c>
      <c r="H3921" s="18">
        <f>HYPERLINK("D:\python\英语学习\voices\"&amp;B3921&amp;"_2.mp3","AmE")</f>
        <v/>
      </c>
      <c r="I3921" s="18">
        <f>HYPERLINK("http://dict.youdao.com/w/"&amp;B3921,"有道")</f>
        <v/>
      </c>
    </row>
    <row r="3922">
      <c r="A3922" t="inlineStr">
        <is>
          <t>practice</t>
        </is>
      </c>
      <c r="B3922" s="1" t="inlineStr">
        <is>
          <t>indigence</t>
        </is>
      </c>
      <c r="C3922" s="17">
        <f>"n. 穷困；贫乏；贫穷"</f>
        <v/>
      </c>
      <c r="G3922" s="18">
        <f>HYPERLINK("D:\python\英语学习\voices\"&amp;B3922&amp;"_1.mp3","BrE")</f>
        <v/>
      </c>
      <c r="H3922" s="18">
        <f>HYPERLINK("D:\python\英语学习\voices\"&amp;B3922&amp;"_2.mp3","AmE")</f>
        <v/>
      </c>
      <c r="I3922" s="18">
        <f>HYPERLINK("http://dict.youdao.com/w/"&amp;B3922,"有道")</f>
        <v/>
      </c>
    </row>
    <row r="3923">
      <c r="B3923" s="1" t="inlineStr">
        <is>
          <t>grandiloquence</t>
        </is>
      </c>
      <c r="C3923" s="17">
        <f>"n. 豪言壮语，豪语；夸张之言"</f>
        <v/>
      </c>
      <c r="G3923" s="18">
        <f>HYPERLINK("D:\python\英语学习\voices\"&amp;B3923&amp;"_1.mp3","BrE")</f>
        <v/>
      </c>
      <c r="H3923" s="18">
        <f>HYPERLINK("D:\python\英语学习\voices\"&amp;B3923&amp;"_2.mp3","AmE")</f>
        <v/>
      </c>
      <c r="I3923" s="18">
        <f>HYPERLINK("http://dict.youdao.com/w/"&amp;B3923,"有道")</f>
        <v/>
      </c>
    </row>
    <row r="3924">
      <c r="B3924" s="1" t="inlineStr">
        <is>
          <t>misdemeanor</t>
        </is>
      </c>
      <c r="C3924" s="17">
        <f>"n. 轻罪；品行不端"</f>
        <v/>
      </c>
      <c r="G3924" s="18">
        <f>HYPERLINK("D:\python\英语学习\voices\"&amp;B3924&amp;"_1.mp3","BrE")</f>
        <v/>
      </c>
      <c r="H3924" s="18">
        <f>HYPERLINK("D:\python\英语学习\voices\"&amp;B3924&amp;"_2.mp3","AmE")</f>
        <v/>
      </c>
      <c r="I3924" s="18">
        <f>HYPERLINK("http://dict.youdao.com/w/"&amp;B3924,"有道")</f>
        <v/>
      </c>
    </row>
    <row r="3925">
      <c r="B3925" s="1" t="inlineStr">
        <is>
          <t>surreptitious</t>
        </is>
      </c>
      <c r="C3925" s="17">
        <f>"adj. 秘密的；鬼鬼祟祟的；暗中的"</f>
        <v/>
      </c>
      <c r="G3925" s="18">
        <f>HYPERLINK("D:\python\英语学习\voices\"&amp;B3925&amp;"_1.mp3","BrE")</f>
        <v/>
      </c>
      <c r="H3925" s="18">
        <f>HYPERLINK("D:\python\英语学习\voices\"&amp;B3925&amp;"_2.mp3","AmE")</f>
        <v/>
      </c>
      <c r="I3925" s="18">
        <f>HYPERLINK("http://dict.youdao.com/w/"&amp;B3925,"有道")</f>
        <v/>
      </c>
    </row>
    <row r="3926">
      <c r="B3926" s="1" t="inlineStr">
        <is>
          <t>fortitude</t>
        </is>
      </c>
      <c r="C3926" s="17">
        <f>"n. 刚毅；不屈不挠；勇气"</f>
        <v/>
      </c>
      <c r="G3926" s="18">
        <f>HYPERLINK("D:\python\英语学习\voices\"&amp;B3926&amp;"_1.mp3","BrE")</f>
        <v/>
      </c>
      <c r="H3926" s="18">
        <f>HYPERLINK("D:\python\英语学习\voices\"&amp;B3926&amp;"_2.mp3","AmE")</f>
        <v/>
      </c>
      <c r="I3926" s="18">
        <f>HYPERLINK("http://dict.youdao.com/w/"&amp;B3926,"有道")</f>
        <v/>
      </c>
    </row>
    <row r="3927">
      <c r="B3927" s="1" t="inlineStr">
        <is>
          <t>disciple</t>
        </is>
      </c>
      <c r="C3927" s="17">
        <f>"n. 门徒，信徒；弟子"</f>
        <v/>
      </c>
      <c r="G3927" s="18">
        <f>HYPERLINK("D:\python\英语学习\voices\"&amp;B3927&amp;"_1.mp3","BrE")</f>
        <v/>
      </c>
      <c r="H3927" s="18">
        <f>HYPERLINK("D:\python\英语学习\voices\"&amp;B3927&amp;"_2.mp3","AmE")</f>
        <v/>
      </c>
      <c r="I3927" s="18">
        <f>HYPERLINK("http://dict.youdao.com/w/"&amp;B3927,"有道")</f>
        <v/>
      </c>
    </row>
    <row customHeight="1" ht="28.5" r="3928">
      <c r="B3928" s="1" t="inlineStr">
        <is>
          <t>elixir</t>
        </is>
      </c>
      <c r="C3928" s="17">
        <f>"n. 灵丹妙药；炼金药；长生不老药；酏剂"&amp;CHAR(10)&amp;"n. (Elixir) （印）埃立西尔（人名）"</f>
        <v/>
      </c>
      <c r="G3928" s="18">
        <f>HYPERLINK("D:\python\英语学习\voices\"&amp;B3928&amp;"_1.mp3","BrE")</f>
        <v/>
      </c>
      <c r="H3928" s="18">
        <f>HYPERLINK("D:\python\英语学习\voices\"&amp;B3928&amp;"_2.mp3","AmE")</f>
        <v/>
      </c>
      <c r="I3928" s="18">
        <f>HYPERLINK("http://dict.youdao.com/w/"&amp;B3928,"有道")</f>
        <v/>
      </c>
    </row>
    <row r="3929">
      <c r="B3929" s="1" t="inlineStr">
        <is>
          <t>aversion</t>
        </is>
      </c>
      <c r="C3929" s="17">
        <f>"n. 厌恶；讨厌的人"</f>
        <v/>
      </c>
      <c r="G3929" s="18">
        <f>HYPERLINK("D:\python\英语学习\voices\"&amp;B3929&amp;"_1.mp3","BrE")</f>
        <v/>
      </c>
      <c r="H3929" s="18">
        <f>HYPERLINK("D:\python\英语学习\voices\"&amp;B3929&amp;"_2.mp3","AmE")</f>
        <v/>
      </c>
      <c r="I3929" s="18">
        <f>HYPERLINK("http://dict.youdao.com/w/"&amp;B3929,"有道")</f>
        <v/>
      </c>
    </row>
    <row customHeight="1" ht="42.75" r="3930">
      <c r="B3930" s="1" t="inlineStr">
        <is>
          <t>allure</t>
        </is>
      </c>
      <c r="C3930" s="17">
        <f>"n. 诱惑力；引诱力；吸引力"&amp;CHAR(10)&amp;"v. 吸引；引诱"&amp;CHAR(10)&amp;"n. (Allure) （俄、美、印）艾罗尔（人名）"</f>
        <v/>
      </c>
      <c r="G3930" s="18">
        <f>HYPERLINK("D:\python\英语学习\voices\"&amp;B3930&amp;"_1.mp3","BrE")</f>
        <v/>
      </c>
      <c r="H3930" s="18">
        <f>HYPERLINK("D:\python\英语学习\voices\"&amp;B3930&amp;"_2.mp3","AmE")</f>
        <v/>
      </c>
      <c r="I3930" s="18">
        <f>HYPERLINK("http://dict.youdao.com/w/"&amp;B3930,"有道")</f>
        <v/>
      </c>
    </row>
    <row r="3931">
      <c r="B3931" s="1" t="inlineStr">
        <is>
          <t>dividend</t>
        </is>
      </c>
      <c r="C3931" s="17">
        <f>"n. 红利；股息；[数] 被除数；奖金"</f>
        <v/>
      </c>
      <c r="G3931" s="18">
        <f>HYPERLINK("D:\python\英语学习\voices\"&amp;B3931&amp;"_1.mp3","BrE")</f>
        <v/>
      </c>
      <c r="H3931" s="18">
        <f>HYPERLINK("D:\python\英语学习\voices\"&amp;B3931&amp;"_2.mp3","AmE")</f>
        <v/>
      </c>
      <c r="I3931" s="18">
        <f>HYPERLINK("http://dict.youdao.com/w/"&amp;B3931,"有道")</f>
        <v/>
      </c>
    </row>
    <row customHeight="1" ht="28.5" r="3932">
      <c r="B3932" s="1" t="inlineStr">
        <is>
          <t>impaired</t>
        </is>
      </c>
      <c r="C3932" s="17">
        <f>"adj. 受损的"&amp;CHAR(10)&amp;"v. 损害（impair的过去式和过去分词）"</f>
        <v/>
      </c>
      <c r="G3932" s="18">
        <f>HYPERLINK("D:\python\英语学习\voices\"&amp;B3932&amp;"_1.mp3","BrE")</f>
        <v/>
      </c>
      <c r="H3932" s="18">
        <f>HYPERLINK("D:\python\英语学习\voices\"&amp;B3932&amp;"_2.mp3","AmE")</f>
        <v/>
      </c>
      <c r="I3932" s="18">
        <f>HYPERLINK("http://dict.youdao.com/w/"&amp;B3932,"有道")</f>
        <v/>
      </c>
    </row>
    <row customHeight="1" ht="114" r="3933">
      <c r="B3933" s="1" t="inlineStr">
        <is>
          <t>swell</t>
        </is>
      </c>
      <c r="C3933" s="17">
        <f>"v. 膨胀，肿胀；（使）凸出，鼓出；（使）增加，扩大；（声音）变响亮；充满（激情）"&amp;CHAR(10)&amp;"n. 凸起处，隆起处；逐渐增长；感情高涨；浪涌；音量调节器；（非正式）名流"&amp;CHAR(10)&amp;"adj. （非正式）极好的，非常愉快的；漂亮的，时髦的；"&amp;CHAR(10)&amp;"adv. 极好地，出色地"&amp;CHAR(10)&amp;"n. (Swell)（美、英）斯韦尔（人名）"</f>
        <v/>
      </c>
      <c r="G3933" s="18">
        <f>HYPERLINK("D:\python\英语学习\voices\"&amp;B3933&amp;"_1.mp3","BrE")</f>
        <v/>
      </c>
      <c r="H3933" s="18">
        <f>HYPERLINK("D:\python\英语学习\voices\"&amp;B3933&amp;"_2.mp3","AmE")</f>
        <v/>
      </c>
      <c r="I3933" s="18">
        <f>HYPERLINK("http://dict.youdao.com/w/"&amp;B3933,"有道")</f>
        <v/>
      </c>
    </row>
    <row r="3934">
      <c r="B3934" s="1" t="inlineStr">
        <is>
          <t>potency</t>
        </is>
      </c>
      <c r="C3934" s="17">
        <f>"n. 效能；力量；潜力；权势"</f>
        <v/>
      </c>
      <c r="G3934" s="18">
        <f>HYPERLINK("D:\python\英语学习\voices\"&amp;B3934&amp;"_1.mp3","BrE")</f>
        <v/>
      </c>
      <c r="H3934" s="18">
        <f>HYPERLINK("D:\python\英语学习\voices\"&amp;B3934&amp;"_2.mp3","AmE")</f>
        <v/>
      </c>
      <c r="I3934" s="18">
        <f>HYPERLINK("http://dict.youdao.com/w/"&amp;B3934,"有道")</f>
        <v/>
      </c>
    </row>
    <row customHeight="1" ht="28.5" r="3935">
      <c r="B3935" s="1" t="inlineStr">
        <is>
          <t>instrument</t>
        </is>
      </c>
      <c r="C3935" s="17">
        <f>"n. 仪器；工具；乐器；手段；器械"&amp;CHAR(10)&amp;"vt. 给……装测量仪器"</f>
        <v/>
      </c>
      <c r="E3935" t="inlineStr">
        <is>
          <t>好多意思</t>
        </is>
      </c>
      <c r="G3935" s="18">
        <f>HYPERLINK("D:\python\英语学习\voices\"&amp;B3935&amp;"_1.mp3","BrE")</f>
        <v/>
      </c>
      <c r="H3935" s="18">
        <f>HYPERLINK("D:\python\英语学习\voices\"&amp;B3935&amp;"_2.mp3","AmE")</f>
        <v/>
      </c>
      <c r="I3935" s="18">
        <f>HYPERLINK("http://dict.youdao.com/w/"&amp;B3935,"有道")</f>
        <v/>
      </c>
    </row>
    <row r="3936">
      <c r="B3936" s="1" t="inlineStr">
        <is>
          <t>delegation</t>
        </is>
      </c>
      <c r="C3936" s="17">
        <f>"n. 代表团；授权；委托"</f>
        <v/>
      </c>
      <c r="G3936" s="18">
        <f>HYPERLINK("D:\python\英语学习\voices\"&amp;B3936&amp;"_1.mp3","BrE")</f>
        <v/>
      </c>
      <c r="H3936" s="18">
        <f>HYPERLINK("D:\python\英语学习\voices\"&amp;B3936&amp;"_2.mp3","AmE")</f>
        <v/>
      </c>
      <c r="I3936" s="18">
        <f>HYPERLINK("http://dict.youdao.com/w/"&amp;B3936,"有道")</f>
        <v/>
      </c>
    </row>
    <row r="3937">
      <c r="B3937" s="1" t="inlineStr">
        <is>
          <t>consensus</t>
        </is>
      </c>
      <c r="C3937" s="17">
        <f>"n. 一致；舆论；合意"</f>
        <v/>
      </c>
      <c r="G3937" s="18">
        <f>HYPERLINK("D:\python\英语学习\voices\"&amp;B3937&amp;"_1.mp3","BrE")</f>
        <v/>
      </c>
      <c r="H3937" s="18">
        <f>HYPERLINK("D:\python\英语学习\voices\"&amp;B3937&amp;"_2.mp3","AmE")</f>
        <v/>
      </c>
      <c r="I3937" s="18">
        <f>HYPERLINK("http://dict.youdao.com/w/"&amp;B3937,"有道")</f>
        <v/>
      </c>
    </row>
    <row r="3938">
      <c r="B3938" s="1" t="inlineStr">
        <is>
          <t>separable</t>
        </is>
      </c>
      <c r="C3938" s="17">
        <f>"adj. 可分离的；可分隔的"</f>
        <v/>
      </c>
      <c r="D3938" t="inlineStr">
        <is>
          <t>separate-separable注意te没了</t>
        </is>
      </c>
      <c r="E3938" t="inlineStr">
        <is>
          <t>注意拼写</t>
        </is>
      </c>
      <c r="G3938" s="18">
        <f>HYPERLINK("D:\python\英语学习\voices\"&amp;B3938&amp;"_1.mp3","BrE")</f>
        <v/>
      </c>
      <c r="H3938" s="18">
        <f>HYPERLINK("D:\python\英语学习\voices\"&amp;B3938&amp;"_2.mp3","AmE")</f>
        <v/>
      </c>
      <c r="I3938" s="18">
        <f>HYPERLINK("http://dict.youdao.com/w/"&amp;B3938,"有道")</f>
        <v/>
      </c>
    </row>
    <row customHeight="1" ht="57" r="3939">
      <c r="A3939" s="1" t="inlineStr">
        <is>
          <t>important</t>
        </is>
      </c>
      <c r="B3939" s="1" t="inlineStr">
        <is>
          <t>inseparable</t>
        </is>
      </c>
      <c r="C3939" s="17">
        <f>"adj. 不可分的；不愿分开的；（前缀）不可单独成词的；（德语动词）屈折变化时前缀和词根不可分的"&amp;CHAR(10)&amp;"n. 不能分开的人（或事物）"</f>
        <v/>
      </c>
      <c r="D3939" t="inlineStr">
        <is>
          <t>separate-separable注意te没了</t>
        </is>
      </c>
      <c r="E3939" t="inlineStr">
        <is>
          <t>注意拼写</t>
        </is>
      </c>
      <c r="G3939" s="18">
        <f>HYPERLINK("D:\python\英语学习\voices\"&amp;B3939&amp;"_1.mp3","BrE")</f>
        <v/>
      </c>
      <c r="H3939" s="18">
        <f>HYPERLINK("D:\python\英语学习\voices\"&amp;B3939&amp;"_2.mp3","AmE")</f>
        <v/>
      </c>
      <c r="I3939" s="18">
        <f>HYPERLINK("http://dict.youdao.com/w/"&amp;B3939,"有道")</f>
        <v/>
      </c>
    </row>
    <row customHeight="1" ht="42.75" r="3940">
      <c r="B3940" s="1" t="inlineStr">
        <is>
          <t>substitute</t>
        </is>
      </c>
      <c r="C3940" s="17">
        <f>"n. 代用品；代替者"&amp;CHAR(10)&amp;"vi. 替代"&amp;CHAR(10)&amp;"vt. 代替"</f>
        <v/>
      </c>
      <c r="G3940" s="18">
        <f>HYPERLINK("D:\python\英语学习\voices\"&amp;B3940&amp;"_1.mp3","BrE")</f>
        <v/>
      </c>
      <c r="H3940" s="18">
        <f>HYPERLINK("D:\python\英语学习\voices\"&amp;B3940&amp;"_2.mp3","AmE")</f>
        <v/>
      </c>
      <c r="I3940" s="18">
        <f>HYPERLINK("http://dict.youdao.com/w/"&amp;B3940,"有道")</f>
        <v/>
      </c>
    </row>
    <row customHeight="1" ht="28.5" r="3941">
      <c r="B3941" s="1" t="inlineStr">
        <is>
          <t>secluded</t>
        </is>
      </c>
      <c r="C3941" s="17">
        <f>"adj. 隐蔽的；隐退的，隐居的"&amp;CHAR(10)&amp;"v. 隔绝（seclude的过去式）"</f>
        <v/>
      </c>
      <c r="G3941" s="18">
        <f>HYPERLINK("D:\python\英语学习\voices\"&amp;B3941&amp;"_1.mp3","BrE")</f>
        <v/>
      </c>
      <c r="H3941" s="18">
        <f>HYPERLINK("D:\python\英语学习\voices\"&amp;B3941&amp;"_2.mp3","AmE")</f>
        <v/>
      </c>
      <c r="I3941" s="18">
        <f>HYPERLINK("http://dict.youdao.com/w/"&amp;B3941,"有道")</f>
        <v/>
      </c>
    </row>
    <row r="3942">
      <c r="B3942" s="1" t="inlineStr">
        <is>
          <t>plummet</t>
        </is>
      </c>
      <c r="C3942" s="17" t="n"/>
      <c r="G3942" s="18">
        <f>HYPERLINK("D:\python\英语学习\voices\"&amp;B3942&amp;"_1.mp3","BrE")</f>
        <v/>
      </c>
      <c r="H3942" s="18">
        <f>HYPERLINK("D:\python\英语学习\voices\"&amp;B3942&amp;"_2.mp3","AmE")</f>
        <v/>
      </c>
      <c r="I3942" s="18">
        <f>HYPERLINK("http://dict.youdao.com/w/"&amp;B3942,"有道")</f>
        <v/>
      </c>
    </row>
    <row r="3943">
      <c r="B3943" s="1" t="inlineStr">
        <is>
          <t>borehole</t>
        </is>
      </c>
      <c r="C3943" s="17">
        <f>"n. 钻孔，井眼；（为探测石油或水）地上凿洞"</f>
        <v/>
      </c>
      <c r="G3943" s="18">
        <f>HYPERLINK("D:\python\英语学习\voices\"&amp;B3943&amp;"_1.mp3","BrE")</f>
        <v/>
      </c>
      <c r="H3943" s="18">
        <f>HYPERLINK("D:\python\英语学习\voices\"&amp;B3943&amp;"_2.mp3","AmE")</f>
        <v/>
      </c>
      <c r="I3943" s="18">
        <f>HYPERLINK("http://dict.youdao.com/w/"&amp;B3943,"有道")</f>
        <v/>
      </c>
    </row>
    <row customHeight="1" ht="42.75" r="3944">
      <c r="B3944" s="1" t="inlineStr">
        <is>
          <t>humanitarian</t>
        </is>
      </c>
      <c r="C3944" s="17">
        <f>"adj. 人道主义的；博爱的；基督凡人论的"&amp;CHAR(10)&amp;"n. 人道主义者；慈善家；博爱主义者；基督凡人论者"</f>
        <v/>
      </c>
      <c r="G3944" s="18">
        <f>HYPERLINK("D:\python\英语学习\voices\"&amp;B3944&amp;"_1.mp3","BrE")</f>
        <v/>
      </c>
      <c r="H3944" s="18">
        <f>HYPERLINK("D:\python\英语学习\voices\"&amp;B3944&amp;"_2.mp3","AmE")</f>
        <v/>
      </c>
      <c r="I3944" s="18">
        <f>HYPERLINK("http://dict.youdao.com/w/"&amp;B3944,"有道")</f>
        <v/>
      </c>
    </row>
    <row r="3945">
      <c r="B3945" s="1" t="inlineStr">
        <is>
          <t>gruesome</t>
        </is>
      </c>
      <c r="C3945" s="17">
        <f>"adj. 可怕的；阴森的"</f>
        <v/>
      </c>
      <c r="G3945" s="18">
        <f>HYPERLINK("D:\python\英语学习\voices\"&amp;B3945&amp;"_1.mp3","BrE")</f>
        <v/>
      </c>
      <c r="H3945" s="18">
        <f>HYPERLINK("D:\python\英语学习\voices\"&amp;B3945&amp;"_2.mp3","AmE")</f>
        <v/>
      </c>
      <c r="I3945" s="18">
        <f>HYPERLINK("http://dict.youdao.com/w/"&amp;B3945,"有道")</f>
        <v/>
      </c>
    </row>
    <row r="3946">
      <c r="A3946" s="1" t="inlineStr">
        <is>
          <t>unnecessary</t>
        </is>
      </c>
      <c r="B3946" s="1" t="inlineStr">
        <is>
          <t>phylogenetic</t>
        </is>
      </c>
      <c r="C3946" s="17">
        <f>"adj. [生物] 系统发生的；动植物种类史的"</f>
        <v/>
      </c>
      <c r="G3946" s="18">
        <f>HYPERLINK("D:\python\英语学习\voices\"&amp;B3946&amp;"_1.mp3","BrE")</f>
        <v/>
      </c>
      <c r="H3946" s="18">
        <f>HYPERLINK("D:\python\英语学习\voices\"&amp;B3946&amp;"_2.mp3","AmE")</f>
        <v/>
      </c>
      <c r="I3946" s="18">
        <f>HYPERLINK("http://dict.youdao.com/w/"&amp;B3946,"有道")</f>
        <v/>
      </c>
    </row>
    <row r="3947">
      <c r="B3947" s="1" t="inlineStr">
        <is>
          <t>cautionary</t>
        </is>
      </c>
      <c r="C3947" s="17">
        <f>"adj. 警告的；劝诫的"</f>
        <v/>
      </c>
      <c r="G3947" s="18">
        <f>HYPERLINK("D:\python\英语学习\voices\"&amp;B3947&amp;"_1.mp3","BrE")</f>
        <v/>
      </c>
      <c r="H3947" s="18">
        <f>HYPERLINK("D:\python\英语学习\voices\"&amp;B3947&amp;"_2.mp3","AmE")</f>
        <v/>
      </c>
      <c r="I3947" s="18">
        <f>HYPERLINK("http://dict.youdao.com/w/"&amp;B3947,"有道")</f>
        <v/>
      </c>
    </row>
    <row customHeight="1" ht="42.75" r="3948">
      <c r="B3948" s="1" t="inlineStr">
        <is>
          <t>gripping</t>
        </is>
      </c>
      <c r="C3948" s="17">
        <f>"adj. 扣人心弦的；引人注意的；令人全神贯注的"&amp;CHAR(10)&amp;"v. 扣人心弦（grip的ing形式）；握紧"</f>
        <v/>
      </c>
      <c r="G3948" s="18">
        <f>HYPERLINK("D:\python\英语学习\voices\"&amp;B3948&amp;"_1.mp3","BrE")</f>
        <v/>
      </c>
      <c r="H3948" s="18">
        <f>HYPERLINK("D:\python\英语学习\voices\"&amp;B3948&amp;"_2.mp3","AmE")</f>
        <v/>
      </c>
      <c r="I3948" s="18">
        <f>HYPERLINK("http://dict.youdao.com/w/"&amp;B3948,"有道")</f>
        <v/>
      </c>
    </row>
    <row r="3949">
      <c r="B3949" s="1" t="inlineStr">
        <is>
          <t>posthumous</t>
        </is>
      </c>
      <c r="C3949" s="17">
        <f>"adj. 死后的；遗腹的；作者死后出版的"</f>
        <v/>
      </c>
      <c r="G3949" s="18">
        <f>HYPERLINK("D:\python\英语学习\voices\"&amp;B3949&amp;"_1.mp3","BrE")</f>
        <v/>
      </c>
      <c r="H3949" s="18">
        <f>HYPERLINK("D:\python\英语学习\voices\"&amp;B3949&amp;"_2.mp3","AmE")</f>
        <v/>
      </c>
      <c r="I3949" s="18">
        <f>HYPERLINK("http://dict.youdao.com/w/"&amp;B3949,"有道")</f>
        <v/>
      </c>
    </row>
    <row r="3950">
      <c r="B3950" s="1" t="inlineStr">
        <is>
          <t>projection</t>
        </is>
      </c>
      <c r="C3950" s="17">
        <f>"n. 投射；规划；突出；发射；推测"</f>
        <v/>
      </c>
      <c r="G3950" s="18">
        <f>HYPERLINK("D:\python\英语学习\voices\"&amp;B3950&amp;"_1.mp3","BrE")</f>
        <v/>
      </c>
      <c r="H3950" s="18">
        <f>HYPERLINK("D:\python\英语学习\voices\"&amp;B3950&amp;"_2.mp3","AmE")</f>
        <v/>
      </c>
      <c r="I3950" s="18">
        <f>HYPERLINK("http://dict.youdao.com/w/"&amp;B3950,"有道")</f>
        <v/>
      </c>
    </row>
    <row r="3951">
      <c r="B3951" s="1" t="inlineStr">
        <is>
          <t>caput</t>
        </is>
      </c>
      <c r="C3951" s="17">
        <f>"n. [解剖] 头；章"</f>
        <v/>
      </c>
      <c r="E3951" t="inlineStr">
        <is>
          <t>per capita 人均，capita是复数形式</t>
        </is>
      </c>
      <c r="G3951" s="18">
        <f>HYPERLINK("D:\python\英语学习\voices\"&amp;B3951&amp;"_1.mp3","BrE")</f>
        <v/>
      </c>
      <c r="H3951" s="18">
        <f>HYPERLINK("D:\python\英语学习\voices\"&amp;B3951&amp;"_2.mp3","AmE")</f>
        <v/>
      </c>
      <c r="I3951" s="18">
        <f>HYPERLINK("http://dict.youdao.com/w/"&amp;B3951,"有道")</f>
        <v/>
      </c>
    </row>
    <row customHeight="1" ht="42.75" r="3952">
      <c r="B3952" s="1" t="inlineStr">
        <is>
          <t>spouse</t>
        </is>
      </c>
      <c r="C3952" s="17">
        <f>"n. 配偶"&amp;CHAR(10)&amp;"vt. 和…结婚"&amp;CHAR(10)&amp;"n. (Spouse)人名；(英)斯波斯"</f>
        <v/>
      </c>
      <c r="G3952" s="18">
        <f>HYPERLINK("D:\python\英语学习\voices\"&amp;B3952&amp;"_1.mp3","BrE")</f>
        <v/>
      </c>
      <c r="H3952" s="18">
        <f>HYPERLINK("D:\python\英语学习\voices\"&amp;B3952&amp;"_2.mp3","AmE")</f>
        <v/>
      </c>
      <c r="I3952" s="18">
        <f>HYPERLINK("http://dict.youdao.com/w/"&amp;B3952,"有道")</f>
        <v/>
      </c>
    </row>
    <row r="3953">
      <c r="B3953" s="1" t="inlineStr">
        <is>
          <t>galvanize</t>
        </is>
      </c>
      <c r="C3953" s="17">
        <f>"vt. 镀锌；通电；刺激"</f>
        <v/>
      </c>
      <c r="G3953" s="18">
        <f>HYPERLINK("D:\python\英语学习\voices\"&amp;B3953&amp;"_1.mp3","BrE")</f>
        <v/>
      </c>
      <c r="H3953" s="18">
        <f>HYPERLINK("D:\python\英语学习\voices\"&amp;B3953&amp;"_2.mp3","AmE")</f>
        <v/>
      </c>
      <c r="I3953" s="18">
        <f>HYPERLINK("http://dict.youdao.com/w/"&amp;B3953,"有道")</f>
        <v/>
      </c>
    </row>
    <row r="3954">
      <c r="B3954" s="1" t="inlineStr">
        <is>
          <t>regulatory</t>
        </is>
      </c>
      <c r="C3954" s="17">
        <f>"adj. 管理的；控制的；调整的"</f>
        <v/>
      </c>
      <c r="G3954" s="18">
        <f>HYPERLINK("D:\python\英语学习\voices\"&amp;B3954&amp;"_1.mp3","BrE")</f>
        <v/>
      </c>
      <c r="H3954" s="18">
        <f>HYPERLINK("D:\python\英语学习\voices\"&amp;B3954&amp;"_2.mp3","AmE")</f>
        <v/>
      </c>
      <c r="I3954" s="18">
        <f>HYPERLINK("http://dict.youdao.com/w/"&amp;B3954,"有道")</f>
        <v/>
      </c>
    </row>
    <row customHeight="1" ht="57" r="3955">
      <c r="B3955" s="1" t="inlineStr">
        <is>
          <t>delve</t>
        </is>
      </c>
      <c r="C3955" s="17">
        <f>"vi. 钻研；探究；挖"&amp;CHAR(10)&amp;"vt. 钻研；探究；挖"&amp;CHAR(10)&amp;"n. 穴；洞"&amp;CHAR(10)&amp;"n. (Delve)人名；(英)德尔夫"</f>
        <v/>
      </c>
      <c r="E3955" t="inlineStr">
        <is>
          <t>delve into 钻研</t>
        </is>
      </c>
      <c r="G3955" s="18">
        <f>HYPERLINK("D:\python\英语学习\voices\"&amp;B3955&amp;"_1.mp3","BrE")</f>
        <v/>
      </c>
      <c r="H3955" s="18">
        <f>HYPERLINK("D:\python\英语学习\voices\"&amp;B3955&amp;"_2.mp3","AmE")</f>
        <v/>
      </c>
      <c r="I3955" s="18">
        <f>HYPERLINK("http://dict.youdao.com/w/"&amp;B3955,"有道")</f>
        <v/>
      </c>
    </row>
    <row r="3956">
      <c r="B3956" s="1" t="inlineStr">
        <is>
          <t>laborious</t>
        </is>
      </c>
      <c r="C3956" s="17">
        <f>"adj. 艰苦的；费劲的；勤劳的"</f>
        <v/>
      </c>
      <c r="G3956" s="18">
        <f>HYPERLINK("D:\python\英语学习\voices\"&amp;B3956&amp;"_1.mp3","BrE")</f>
        <v/>
      </c>
      <c r="H3956" s="18">
        <f>HYPERLINK("D:\python\英语学习\voices\"&amp;B3956&amp;"_2.mp3","AmE")</f>
        <v/>
      </c>
      <c r="I3956" s="18">
        <f>HYPERLINK("http://dict.youdao.com/w/"&amp;B3956,"有道")</f>
        <v/>
      </c>
    </row>
    <row r="3957">
      <c r="B3957" s="1" t="inlineStr">
        <is>
          <t>laboriously</t>
        </is>
      </c>
      <c r="C3957" s="17">
        <f>"adv. 辛苦地；费力地；不流畅地"</f>
        <v/>
      </c>
      <c r="G3957" s="18">
        <f>HYPERLINK("D:\python\英语学习\voices\"&amp;B3957&amp;"_1.mp3","BrE")</f>
        <v/>
      </c>
      <c r="H3957" s="18">
        <f>HYPERLINK("D:\python\英语学习\voices\"&amp;B3957&amp;"_2.mp3","AmE")</f>
        <v/>
      </c>
      <c r="I3957" s="18">
        <f>HYPERLINK("http://dict.youdao.com/w/"&amp;B3957,"有道")</f>
        <v/>
      </c>
    </row>
    <row r="3958">
      <c r="B3958" s="1" t="inlineStr">
        <is>
          <t>puny</t>
        </is>
      </c>
      <c r="C3958" s="17">
        <f>"adj. 弱小的；微不足道的；微小的"</f>
        <v/>
      </c>
      <c r="G3958" s="18">
        <f>HYPERLINK("D:\python\英语学习\voices\"&amp;B3958&amp;"_1.mp3","BrE")</f>
        <v/>
      </c>
      <c r="H3958" s="18">
        <f>HYPERLINK("D:\python\英语学习\voices\"&amp;B3958&amp;"_2.mp3","AmE")</f>
        <v/>
      </c>
      <c r="I3958" s="18">
        <f>HYPERLINK("http://dict.youdao.com/w/"&amp;B3958,"有道")</f>
        <v/>
      </c>
    </row>
    <row customHeight="1" ht="57" r="3959">
      <c r="B3959" s="1" t="inlineStr">
        <is>
          <t>slant</t>
        </is>
      </c>
      <c r="C3959" s="17">
        <f>"v. 倾斜；斜射；使倾斜；有偏向地报道；有倾向；使倾向于"&amp;CHAR(10)&amp;"n. 倾斜；观点；偏见；斜面"&amp;CHAR(10)&amp;"adj. 倾斜的；有偏见的"</f>
        <v/>
      </c>
      <c r="G3959" s="18">
        <f>HYPERLINK("D:\python\英语学习\voices\"&amp;B3959&amp;"_1.mp3","BrE")</f>
        <v/>
      </c>
      <c r="H3959" s="18">
        <f>HYPERLINK("D:\python\英语学习\voices\"&amp;B3959&amp;"_2.mp3","AmE")</f>
        <v/>
      </c>
      <c r="I3959" s="18">
        <f>HYPERLINK("http://dict.youdao.com/w/"&amp;B3959,"有道")</f>
        <v/>
      </c>
    </row>
    <row r="3960">
      <c r="B3960" s="1" t="inlineStr">
        <is>
          <t>microbe</t>
        </is>
      </c>
      <c r="C3960" s="17">
        <f>"n. 细菌，微生物"</f>
        <v/>
      </c>
      <c r="G3960" s="18">
        <f>HYPERLINK("D:\python\英语学习\voices\"&amp;B3960&amp;"_1.mp3","BrE")</f>
        <v/>
      </c>
      <c r="H3960" s="18">
        <f>HYPERLINK("D:\python\英语学习\voices\"&amp;B3960&amp;"_2.mp3","AmE")</f>
        <v/>
      </c>
      <c r="I3960" s="18">
        <f>HYPERLINK("http://dict.youdao.com/w/"&amp;B3960,"有道")</f>
        <v/>
      </c>
    </row>
    <row customHeight="1" ht="42.75" r="3961">
      <c r="B3961" s="1" t="inlineStr">
        <is>
          <t>aside</t>
        </is>
      </c>
      <c r="C3961" s="17">
        <f>"adv. 离开，撇开；在旁边"&amp;CHAR(10)&amp;"n. 旁白；私语，悄悄话；离题的话"&amp;CHAR(10)&amp;"prep. 在…旁边"</f>
        <v/>
      </c>
      <c r="E3961" t="inlineStr">
        <is>
          <t>aside from = apart from</t>
        </is>
      </c>
      <c r="G3961" s="18">
        <f>HYPERLINK("D:\python\英语学习\voices\"&amp;B3961&amp;"_1.mp3","BrE")</f>
        <v/>
      </c>
      <c r="H3961" s="18">
        <f>HYPERLINK("D:\python\英语学习\voices\"&amp;B3961&amp;"_2.mp3","AmE")</f>
        <v/>
      </c>
      <c r="I3961" s="18">
        <f>HYPERLINK("http://dict.youdao.com/w/"&amp;B3961,"有道")</f>
        <v/>
      </c>
    </row>
    <row r="3962">
      <c r="B3962" s="1" t="inlineStr">
        <is>
          <t>rebellious</t>
        </is>
      </c>
      <c r="G3962" s="18">
        <f>HYPERLINK("D:\python\英语学习\voices\"&amp;B3962&amp;"_1.mp3","BrE")</f>
        <v/>
      </c>
      <c r="H3962" s="18">
        <f>HYPERLINK("D:\python\英语学习\voices\"&amp;B3962&amp;"_2.mp3","AmE")</f>
        <v/>
      </c>
      <c r="I3962" s="18">
        <f>HYPERLINK("http://dict.youdao.com/w/"&amp;B3962,"有道")</f>
        <v/>
      </c>
    </row>
    <row r="3963">
      <c r="B3963" t="inlineStr">
        <is>
          <t>opine</t>
        </is>
      </c>
      <c r="E3963" t="inlineStr">
        <is>
          <t>替换think，say</t>
        </is>
      </c>
    </row>
    <row r="3964">
      <c r="B3964" t="inlineStr">
        <is>
          <t>meticulous</t>
        </is>
      </c>
      <c r="E3964" t="inlineStr">
        <is>
          <t>替换careful</t>
        </is>
      </c>
    </row>
    <row r="3965">
      <c r="B3965" t="inlineStr">
        <is>
          <t>scrupulous</t>
        </is>
      </c>
      <c r="E3965" t="inlineStr">
        <is>
          <t>scrupulous care 一丝不苟，无微不至</t>
        </is>
      </c>
    </row>
    <row r="3966">
      <c r="A3966" t="inlineStr">
        <is>
          <t>unnecessary</t>
        </is>
      </c>
      <c r="B3966" t="inlineStr">
        <is>
          <t>in-house</t>
        </is>
      </c>
    </row>
    <row r="3967">
      <c r="B3967" t="inlineStr">
        <is>
          <t>subsequently</t>
        </is>
      </c>
    </row>
  </sheetData>
  <conditionalFormatting sqref="C1:C1048576">
    <cfRule dxfId="0" operator="equal" priority="14" type="cellIs">
      <formula>"查无此词，请检查拼写"</formula>
    </cfRule>
  </conditionalFormatting>
  <conditionalFormatting sqref="E1:E76 E472:E663 E665:E1486 E1488:E2254 E78:E261 E263:E470 E2256:E3043 E3045:E1048576">
    <cfRule dxfId="7" operator="containsText" priority="11" text="好多意思" type="containsText">
      <formula>NOT(ISERROR(SEARCH("好多意思",E1)))</formula>
    </cfRule>
    <cfRule dxfId="6" operator="containsText" priority="12" text="注意发音" type="containsText">
      <formula>NOT(ISERROR(SEARCH("注意发音",E1)))</formula>
    </cfRule>
    <cfRule dxfId="5" operator="containsText" priority="13" text="注意拼写" type="containsText">
      <formula>NOT(ISERROR(SEARCH("注意拼写",E1)))</formula>
    </cfRule>
  </conditionalFormatting>
  <conditionalFormatting sqref="A1:A10 A12:A470 A472:A573 A575:A963 A965:A3427 A3429:A1048576">
    <cfRule dxfId="4" operator="beginsWith" priority="8" text="unnecessary" type="beginsWith">
      <formula>LEFT(A1,LEN("unnecessary"))="unnecessary"</formula>
    </cfRule>
    <cfRule dxfId="3" operator="beginsWith" priority="9" text="practice" type="beginsWith">
      <formula>LEFT(A1,LEN("practice"))="practice"</formula>
    </cfRule>
    <cfRule dxfId="2" operator="beginsWith" priority="10" text="important" type="beginsWith">
      <formula>LEFT(A1,LEN("important"))="important"</formula>
    </cfRule>
  </conditionalFormatting>
  <conditionalFormatting sqref="B1:B343172">
    <cfRule dxfId="0" priority="489" type="duplicateValues"/>
  </conditionalFormatting>
  <dataValidations count="1">
    <dataValidation allowBlank="0" showErrorMessage="1" showInputMessage="1" sqref="A1:A1048576" type="list">
      <formula1>"important,practice,unnecessary"</formula1>
    </dataValidation>
  </dataValidations>
  <pageMargins bottom="0.75" footer="0.3" header="0.3" left="0.7" right="0.7" top="0.75"/>
  <pageSetup horizontalDpi="4294967293" orientation="portrait" paperSize="9" verticalDpi="1200"/>
</worksheet>
</file>

<file path=xl/worksheets/sheet2.xml><?xml version="1.0" encoding="utf-8"?>
<worksheet xmlns="http://schemas.openxmlformats.org/spreadsheetml/2006/main">
  <sheetPr>
    <outlinePr summaryBelow="1" summaryRight="1"/>
    <pageSetUpPr/>
  </sheetPr>
  <dimension ref="B2:E37"/>
  <sheetViews>
    <sheetView topLeftCell="A31" workbookViewId="0">
      <selection activeCell="B38" sqref="B38"/>
    </sheetView>
  </sheetViews>
  <sheetFormatPr baseColWidth="8" defaultRowHeight="14.25"/>
  <cols>
    <col customWidth="1" max="2" min="2" width="27.75"/>
  </cols>
  <sheetData>
    <row r="2">
      <c r="B2" t="inlineStr">
        <is>
          <t>rack up</t>
        </is>
      </c>
    </row>
    <row r="3">
      <c r="B3" t="inlineStr">
        <is>
          <t xml:space="preserve">grease the wheels </t>
        </is>
      </c>
      <c r="C3" t="inlineStr">
        <is>
          <t>使顺利进行</t>
        </is>
      </c>
    </row>
    <row r="4">
      <c r="B4" t="inlineStr">
        <is>
          <t>cozy up to</t>
        </is>
      </c>
      <c r="C4" t="inlineStr">
        <is>
          <t>讨好</t>
        </is>
      </c>
    </row>
    <row r="5">
      <c r="B5" t="inlineStr">
        <is>
          <t>that is not to say that…</t>
        </is>
      </c>
      <c r="C5" t="inlineStr">
        <is>
          <t>并不是说</t>
        </is>
      </c>
    </row>
    <row r="6">
      <c r="B6" t="inlineStr">
        <is>
          <t>consent to</t>
        </is>
      </c>
      <c r="C6" t="inlineStr">
        <is>
          <t>同意</t>
        </is>
      </c>
    </row>
    <row r="7">
      <c r="B7" t="inlineStr">
        <is>
          <t>shy of</t>
        </is>
      </c>
      <c r="C7" t="inlineStr">
        <is>
          <t>对…有顾虑；对…畏缩</t>
        </is>
      </c>
      <c r="E7" s="13" t="inlineStr">
        <is>
          <t>Close to the Sun is a few steps shy of a great narrative-driven horror, but its trite gameplay expels the magic its environments worked to create.</t>
        </is>
      </c>
    </row>
    <row r="8">
      <c r="B8" t="inlineStr">
        <is>
          <t>truth to be told,</t>
        </is>
      </c>
    </row>
    <row r="9">
      <c r="B9" t="inlineStr">
        <is>
          <t>turn on</t>
        </is>
      </c>
    </row>
    <row r="10">
      <c r="B10" t="inlineStr">
        <is>
          <t>single out</t>
        </is>
      </c>
    </row>
    <row r="11">
      <c r="B11" t="inlineStr">
        <is>
          <t>shurg off</t>
        </is>
      </c>
    </row>
    <row r="12">
      <c r="B12" t="inlineStr">
        <is>
          <t>era-defining</t>
        </is>
      </c>
    </row>
    <row r="13">
      <c r="B13" t="inlineStr">
        <is>
          <t>to make ends meet</t>
        </is>
      </c>
    </row>
    <row r="14">
      <c r="B14" t="inlineStr">
        <is>
          <t>seek distance from</t>
        </is>
      </c>
      <c r="C14" t="inlineStr">
        <is>
          <t>疏远？</t>
        </is>
      </c>
    </row>
    <row r="15">
      <c r="B15" t="inlineStr">
        <is>
          <t>cold gaze</t>
        </is>
      </c>
      <c r="C15" t="inlineStr">
        <is>
          <t>冷冷的凝视--不看好 like a cold gaze</t>
        </is>
      </c>
    </row>
    <row r="16">
      <c r="B16" t="inlineStr">
        <is>
          <t>slack off</t>
        </is>
      </c>
    </row>
    <row r="17">
      <c r="B17" t="inlineStr">
        <is>
          <t>objectively speaking,</t>
        </is>
      </c>
    </row>
    <row r="18">
      <c r="B18" t="inlineStr">
        <is>
          <t>well up</t>
        </is>
      </c>
      <c r="C18" t="inlineStr">
        <is>
          <t>（emotion）涌出</t>
        </is>
      </c>
    </row>
    <row r="19">
      <c r="B19" t="inlineStr">
        <is>
          <t>scores of</t>
        </is>
      </c>
    </row>
    <row r="20">
      <c r="B20" s="1" t="inlineStr">
        <is>
          <t>and on=and so on</t>
        </is>
      </c>
    </row>
    <row r="21">
      <c r="B21" t="inlineStr">
        <is>
          <t>look up to</t>
        </is>
      </c>
    </row>
    <row r="22">
      <c r="B22" t="inlineStr">
        <is>
          <t>back in high gear</t>
        </is>
      </c>
      <c r="C22" t="inlineStr">
        <is>
          <t>重燃斗志？</t>
        </is>
      </c>
    </row>
    <row r="23">
      <c r="B23" t="inlineStr">
        <is>
          <t>so is to speak</t>
        </is>
      </c>
    </row>
    <row r="24">
      <c r="B24" t="inlineStr">
        <is>
          <t>with all one's might</t>
        </is>
      </c>
    </row>
    <row r="25">
      <c r="B25" t="inlineStr">
        <is>
          <t>beef up</t>
        </is>
      </c>
      <c r="C25" t="inlineStr">
        <is>
          <t>加强</t>
        </is>
      </c>
    </row>
    <row r="26">
      <c r="B26" t="inlineStr">
        <is>
          <t>shell out = fork out</t>
        </is>
      </c>
      <c r="C26" t="inlineStr">
        <is>
          <t>付款</t>
        </is>
      </c>
    </row>
    <row r="27">
      <c r="B27" t="inlineStr">
        <is>
          <t>be modeled after</t>
        </is>
      </c>
      <c r="C27" t="inlineStr">
        <is>
          <t>按..仿造</t>
        </is>
      </c>
    </row>
    <row r="28">
      <c r="B28" t="inlineStr">
        <is>
          <t>in London and beyond</t>
        </is>
      </c>
    </row>
    <row r="29">
      <c r="B29" t="inlineStr">
        <is>
          <t>it serves sb right</t>
        </is>
      </c>
    </row>
    <row r="30">
      <c r="B30" t="inlineStr">
        <is>
          <t>silver lining</t>
        </is>
      </c>
      <c r="C30" t="inlineStr">
        <is>
          <t>一线生机</t>
        </is>
      </c>
    </row>
    <row r="31">
      <c r="B31" t="inlineStr">
        <is>
          <t>see to</t>
        </is>
      </c>
      <c r="C31" t="inlineStr">
        <is>
          <t>注意留意关注</t>
        </is>
      </c>
    </row>
    <row r="32">
      <c r="B32" t="inlineStr">
        <is>
          <t>For years now, +现在完成时</t>
        </is>
      </c>
      <c r="C32" t="inlineStr">
        <is>
          <t>至今</t>
        </is>
      </c>
    </row>
    <row r="33">
      <c r="B33" t="inlineStr">
        <is>
          <t>melting pot</t>
        </is>
      </c>
      <c r="C33" t="inlineStr">
        <is>
          <t>熔炉（指多种民族、多种思想等融合混杂的地方或状况）美国人喜欢说美国是个melting pot</t>
        </is>
      </c>
    </row>
    <row r="34">
      <c r="B34" t="inlineStr">
        <is>
          <t>a matter of primary importance</t>
        </is>
      </c>
      <c r="C34" t="inlineStr">
        <is>
          <t>表达重要</t>
        </is>
      </c>
    </row>
    <row r="35">
      <c r="B35" t="inlineStr">
        <is>
          <t>Many years had elapsed before...</t>
        </is>
      </c>
      <c r="C35" t="inlineStr">
        <is>
          <t>过去很多年，这里有两个重点，用过去完成时，用before而不是until</t>
        </is>
      </c>
    </row>
    <row r="36">
      <c r="B36" t="inlineStr">
        <is>
          <t>to name a few</t>
        </is>
      </c>
      <c r="C36" t="inlineStr">
        <is>
          <t>sunch as</t>
        </is>
      </c>
    </row>
    <row r="37">
      <c r="B37" t="inlineStr">
        <is>
          <t>butter up</t>
        </is>
      </c>
      <c r="C37" t="inlineStr">
        <is>
          <t>过分说好话，拍马屁阿谀奉承</t>
        </is>
      </c>
    </row>
  </sheetData>
  <conditionalFormatting sqref="B20">
    <cfRule dxfId="0" priority="1" type="duplicateValues"/>
  </conditionalFormatting>
  <pageMargins bottom="0.75" footer="0.3" header="0.3" left="0.7" right="0.7" top="0.75"/>
  <pageSetup horizontalDpi="1200" orientation="portrait" paperSize="9" verticalDpi="1200"/>
</worksheet>
</file>

<file path=xl/worksheets/sheet3.xml><?xml version="1.0" encoding="utf-8"?>
<worksheet xmlns="http://schemas.openxmlformats.org/spreadsheetml/2006/main">
  <sheetPr>
    <outlinePr summaryBelow="1" summaryRight="1"/>
    <pageSetUpPr/>
  </sheetPr>
  <dimension ref="A2:A5"/>
  <sheetViews>
    <sheetView workbookViewId="0">
      <selection activeCell="A6" sqref="A6"/>
    </sheetView>
  </sheetViews>
  <sheetFormatPr baseColWidth="8" defaultRowHeight="14.25"/>
  <cols>
    <col customWidth="1" max="1" min="1" width="101.625"/>
  </cols>
  <sheetData>
    <row r="2">
      <c r="A2" t="inlineStr">
        <is>
          <t>you can do anything you put your mind to.</t>
        </is>
      </c>
    </row>
    <row r="3">
      <c r="A3" t="inlineStr">
        <is>
          <t>it's always the simple things that catch your breath.</t>
        </is>
      </c>
    </row>
    <row r="4">
      <c r="A4" t="inlineStr">
        <is>
          <t>Beauty is found everywhere. Our eyes do not show a lack of sense of beauty, but a lack of observation.</t>
        </is>
      </c>
    </row>
    <row r="5">
      <c r="A5" t="inlineStr">
        <is>
          <t>A forbidden love. An unthinkable attraction. The ultimate price.--Lolita</t>
        </is>
      </c>
    </row>
  </sheetData>
  <pageMargins bottom="0.75" footer="0.3" header="0.3" left="0.7" right="0.7" top="0.75"/>
</worksheet>
</file>

<file path=xl/worksheets/sheet4.xml><?xml version="1.0" encoding="utf-8"?>
<worksheet xmlns="http://schemas.openxmlformats.org/spreadsheetml/2006/main">
  <sheetPr>
    <outlinePr summaryBelow="1" summaryRight="1"/>
    <pageSetUpPr/>
  </sheetPr>
  <dimension ref="A2:B4"/>
  <sheetViews>
    <sheetView workbookViewId="0">
      <selection activeCell="A7" sqref="A7"/>
    </sheetView>
  </sheetViews>
  <sheetFormatPr baseColWidth="8" defaultRowHeight="14.25"/>
  <cols>
    <col customWidth="1" max="1" min="1" width="37.75"/>
  </cols>
  <sheetData>
    <row r="2">
      <c r="A2" t="inlineStr">
        <is>
          <t>hotel offer dinner in the price</t>
        </is>
      </c>
    </row>
    <row r="3">
      <c r="A3" t="inlineStr">
        <is>
          <t>silver lining</t>
        </is>
      </c>
    </row>
    <row r="4">
      <c r="A4" t="inlineStr">
        <is>
          <t>hang in there</t>
        </is>
      </c>
      <c r="B4" t="inlineStr">
        <is>
          <t>坚持住</t>
        </is>
      </c>
    </row>
  </sheetData>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2021-12-09T03:10:53Z</dcterms:modified>
  <cp:lastModifiedBy>林 彦辰</cp:lastModifiedBy>
</cp:coreProperties>
</file>