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AF8D31AA-48D3-43FA-AA60-3B2EA5F733A4}" xr6:coauthVersionLast="45" xr6:coauthVersionMax="45" xr10:uidLastSave="{00000000-0000-0000-0000-000000000000}"/>
  <bookViews>
    <workbookView xWindow="4438" yWindow="2108" windowWidth="22150" windowHeight="14125" firstSheet="1" activeTab="1"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1" sheetId="29" r:id="rId8"/>
    <sheet name="Sheet3" sheetId="27" r:id="rId9"/>
    <sheet name="job loss" sheetId="28" r:id="rId10"/>
  </sheets>
  <definedNames>
    <definedName name="_xlnm._FilterDatabase" localSheetId="9"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combined'!$A$2:$F$281</definedName>
    <definedName name="District_health_board_Locations" localSheetId="3">ImportPopDBH!$A$3:$E$337</definedName>
    <definedName name="DPTWO">'Map Data points (2)'!$B$199:$B$313</definedName>
    <definedName name="ExternalData_1" localSheetId="8" hidden="1">Sheet3!$A$1:$F$120</definedName>
    <definedName name="FULL" localSheetId="1">'Map Data points (2)'!$B$26:$B$339</definedName>
    <definedName name="FULL">#REF!</definedName>
    <definedName name="HTML" localSheetId="1">'Map Data points (2)'!$B$199:$B$309</definedName>
    <definedName name="HTML">#REF!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8" i="20" l="1"/>
  <c r="D147" i="20"/>
  <c r="D144" i="20"/>
  <c r="D143" i="20"/>
  <c r="D140" i="20"/>
  <c r="D139" i="20"/>
  <c r="D136" i="20"/>
  <c r="D135" i="20"/>
  <c r="D132" i="20"/>
  <c r="D131" i="20"/>
  <c r="W165" i="20" l="1"/>
  <c r="H29" i="21" l="1"/>
  <c r="D27" i="20" l="1"/>
  <c r="C28" i="25" l="1"/>
  <c r="L6" i="28" l="1"/>
  <c r="L4" i="28"/>
  <c r="K5" i="28" s="1"/>
  <c r="K6" i="28" s="1"/>
  <c r="K7" i="28" s="1"/>
  <c r="F4" i="28"/>
  <c r="H7" i="28"/>
  <c r="I6" i="28"/>
  <c r="H6" i="28"/>
  <c r="H5" i="28"/>
  <c r="I4" i="28"/>
  <c r="J5" i="21" l="1"/>
  <c r="I24" i="28" l="1"/>
  <c r="I25" i="28"/>
  <c r="B20"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W177" i="20"/>
  <c r="P178" i="20"/>
  <c r="Q178" i="20"/>
  <c r="R178" i="20"/>
  <c r="S178" i="20"/>
  <c r="T178" i="20"/>
  <c r="U178" i="20"/>
  <c r="V178" i="20"/>
  <c r="W178" i="20"/>
  <c r="Q157" i="20"/>
  <c r="R157" i="20"/>
  <c r="S157" i="20"/>
  <c r="T157" i="20"/>
  <c r="U157" i="20"/>
  <c r="V157" i="20"/>
  <c r="W157" i="20"/>
  <c r="P157" i="20"/>
  <c r="J170" i="20" l="1"/>
  <c r="J175" i="20"/>
  <c r="J172" i="20"/>
  <c r="J171" i="20"/>
  <c r="D218" i="20"/>
  <c r="D203" i="20"/>
  <c r="D204" i="20"/>
  <c r="D206" i="20"/>
  <c r="D214" i="20"/>
  <c r="D210" i="20"/>
  <c r="D222" i="20"/>
  <c r="B222" i="20" s="1"/>
  <c r="D221" i="20"/>
  <c r="D217" i="20"/>
  <c r="D213" i="20"/>
  <c r="D209" i="20"/>
  <c r="D205" i="20"/>
  <c r="D220" i="20"/>
  <c r="D216" i="20"/>
  <c r="D212" i="20"/>
  <c r="D208" i="20"/>
  <c r="D202" i="20"/>
  <c r="D219" i="20"/>
  <c r="D215" i="20"/>
  <c r="D211" i="20"/>
  <c r="D207" i="20"/>
  <c r="F5" i="6"/>
  <c r="A32" i="25" l="1"/>
  <c r="J32" i="28" l="1"/>
  <c r="J31" i="28"/>
  <c r="B47" i="28" l="1"/>
  <c r="H37" i="21" l="1"/>
  <c r="V158" i="20"/>
  <c r="H13" i="21"/>
  <c r="V174" i="20" l="1"/>
  <c r="V177" i="20"/>
  <c r="B148" i="20"/>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H46" i="21"/>
  <c r="H47"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H48" i="21"/>
  <c r="O289" i="20" l="1"/>
  <c r="M25" i="22"/>
  <c r="H50" i="21"/>
  <c r="H51" i="21"/>
  <c r="B136" i="20" l="1"/>
  <c r="B132" i="20"/>
  <c r="B176" i="20"/>
  <c r="B167" i="20"/>
  <c r="B166" i="20"/>
  <c r="B168" i="20"/>
  <c r="B169" i="20"/>
  <c r="B170" i="20"/>
  <c r="B171" i="20"/>
  <c r="B172" i="20"/>
  <c r="B173" i="20"/>
  <c r="B174" i="20"/>
  <c r="B175" i="20"/>
  <c r="B177" i="20"/>
  <c r="B178" i="20"/>
  <c r="B179" i="20"/>
  <c r="B180" i="20"/>
  <c r="B144" i="20"/>
  <c r="B140" i="20"/>
  <c r="H49"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H52" i="21"/>
  <c r="B131" i="20"/>
  <c r="D160" i="20"/>
  <c r="B164" i="20"/>
  <c r="B64" i="20"/>
  <c r="B59" i="20"/>
  <c r="B60" i="20"/>
  <c r="B61" i="20"/>
  <c r="D163" i="20"/>
  <c r="B163" i="20" s="1"/>
  <c r="E156" i="20"/>
  <c r="C159" i="20"/>
  <c r="B159" i="20" s="1"/>
  <c r="F160" i="20" l="1"/>
  <c r="B160" i="20" s="1"/>
  <c r="Q264"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5" i="20"/>
  <c r="Q266" i="20"/>
  <c r="Q267" i="20"/>
  <c r="Q268" i="20"/>
  <c r="Q269" i="20"/>
  <c r="Q270" i="20"/>
  <c r="Q271" i="20"/>
  <c r="Q272" i="20"/>
  <c r="Q273" i="20"/>
  <c r="Q274" i="20"/>
  <c r="Q275" i="20"/>
  <c r="Q276" i="20"/>
  <c r="Q277" i="20"/>
  <c r="Q278" i="20"/>
  <c r="Q279" i="20"/>
  <c r="Q280" i="20"/>
  <c r="Q281" i="20"/>
  <c r="Q282" i="20"/>
  <c r="Q263" i="20"/>
  <c r="P264" i="20"/>
  <c r="P265" i="20"/>
  <c r="P266" i="20"/>
  <c r="P267" i="20"/>
  <c r="P268" i="20"/>
  <c r="P269" i="20"/>
  <c r="P270" i="20"/>
  <c r="P271" i="20"/>
  <c r="P272" i="20"/>
  <c r="P273" i="20"/>
  <c r="P274" i="20"/>
  <c r="P275" i="20"/>
  <c r="P276" i="20"/>
  <c r="P277" i="20"/>
  <c r="P278" i="20"/>
  <c r="P279" i="20"/>
  <c r="P280" i="20"/>
  <c r="P281" i="20"/>
  <c r="P282" i="20"/>
  <c r="P263"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<sst xmlns="http://schemas.openxmlformats.org/spreadsheetml/2006/main" count="2929" uniqueCount="1146">
  <si>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</si>
  <si>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</si>
  <si>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</si>
  <si>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</si>
  <si>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</si>
  <si>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</si>
  <si>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</si>
  <si>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</si>
  <si>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</si>
  <si>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</si>
  <si>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</si>
  <si>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</si>
  <si>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</si>
  <si>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</si>
  <si>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</si>
  <si>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</si>
  <si>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</si>
  <si>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</si>
  <si>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</si>
  <si>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</si>
  <si>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</si>
  <si>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</si>
  <si>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</si>
  <si>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</si>
  <si>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</si>
  <si>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</si>
  <si>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</si>
  <si>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</si>
  <si>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</si>
  <si>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</si>
  <si>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</si>
  <si>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</si>
  <si>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</si>
  <si>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</si>
  <si>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</si>
  <si>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</si>
  <si>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</si>
  <si>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</si>
  <si>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</si>
  <si>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</si>
  <si>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</si>
  <si>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</si>
  <si>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</si>
  <si>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</si>
  <si>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</si>
  <si>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</si>
  <si>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</si>
  <si>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</si>
  <si>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</si>
  <si>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</si>
  <si>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</si>
  <si>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</si>
  <si>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</si>
  <si>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</si>
  <si>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</si>
  <si>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</si>
  <si>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</si>
  <si>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</si>
  <si>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</si>
  <si>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</si>
  <si>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</si>
  <si>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</si>
  <si>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</si>
  <si>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</si>
  <si>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</si>
  <si>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</si>
  <si>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</si>
  <si>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</si>
  <si>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</si>
  <si>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</si>
  <si>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</si>
  <si>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</si>
  <si>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</si>
  <si>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</si>
  <si>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</si>
  <si>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</si>
  <si>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</si>
  <si>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</si>
  <si>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</si>
  <si>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</si>
  <si>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</si>
  <si>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</si>
  <si>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</si>
  <si>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</si>
  <si>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</si>
  <si>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</si>
  <si>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</si>
  <si>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</si>
  <si>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</si>
  <si>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</si>
  <si>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</si>
  <si>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</si>
  <si>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</si>
  <si>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</si>
  <si>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</si>
  <si>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</si>
  <si>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</si>
  <si>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</si>
  <si>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</si>
  <si>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</si>
  <si>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</si>
  <si>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</si>
  <si>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</si>
  <si>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</si>
  <si>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</si>
  <si>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</si>
  <si>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</si>
  <si>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</si>
  <si>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</si>
  <si>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</si>
  <si>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</si>
  <si>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</si>
  <si>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</si>
  <si>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</si>
  <si>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</si>
  <si>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</si>
  <si>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</si>
  <si>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</si>
  <si>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</si>
  <si>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</si>
  <si>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</si>
  <si>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</si>
  <si>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</si>
  <si>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</si>
  <si>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</si>
  <si>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</si>
  <si>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</si>
  <si>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</si>
  <si>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</si>
  <si>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</si>
  <si>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</si>
  <si>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</si>
  <si>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</si>
  <si>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</si>
  <si>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</si>
  <si>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</si>
  <si>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</si>
  <si>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</si>
  <si>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</si>
  <si>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</si>
  <si>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</si>
  <si>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</si>
  <si>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</si>
  <si>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</si>
  <si>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</si>
  <si>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</si>
  <si>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</si>
  <si>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</si>
  <si>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</si>
  <si>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</si>
  <si>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</si>
  <si>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</si>
  <si>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</si>
  <si>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</si>
  <si>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</si>
  <si>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</si>
  <si>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</si>
  <si>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</si>
  <si>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</si>
  <si>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</si>
  <si>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</si>
  <si>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</si>
  <si>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</si>
  <si>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</si>
  <si>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</si>
  <si>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</si>
  <si>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</si>
  <si>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</si>
  <si>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</si>
  <si>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Wikipedia store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</si>
  <si>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</si>
  <si>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</si>
  <si>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</si>
  <si>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</si>
  <si>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</si>
  <si>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</si>
  <si>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</si>
  <si>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</si>
  <si>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</si>
  <si>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</si>
  <si>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</si>
  <si>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</si>
  <si>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</si>
  <si>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</si>
  <si>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</si>
  <si>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</si>
  <si>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</si>
  <si>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</si>
  <si>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</si>
  <si>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</si>
  <si>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</si>
  <si>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</si>
  <si>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</si>
  <si>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</si>
  <si>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</si>
  <si>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</si>
  <si>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</si>
  <si>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</si>
  <si>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</si>
  <si>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</si>
  <si>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</si>
  <si>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</si>
  <si>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</si>
  <si>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</si>
  <si>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</si>
  <si>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</si>
  <si>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</si>
  <si>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</si>
  <si>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</si>
  <si>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</si>
  <si>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</si>
  <si>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</si>
  <si>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</si>
  <si>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</si>
  <si>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</si>
  <si>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</si>
  <si>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</si>
  <si>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</si>
  <si>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</si>
  <si>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</si>
  <si>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</si>
  <si>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</si>
  <si>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</si>
  <si>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</si>
  <si>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</si>
  <si>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</si>
  <si>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</si>
  <si>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</si>
  <si>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</si>
  <si>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</si>
  <si>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</si>
  <si>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</si>
  <si>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</si>
  <si>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</si>
  <si>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</si>
  <si>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</si>
  <si>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</si>
  <si>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</si>
  <si>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</si>
  <si>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</si>
  <si>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</si>
  <si>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</si>
  <si>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</si>
  <si>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</si>
  <si>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</si>
  <si>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</si>
  <si>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</si>
  <si>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</si>
  <si>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</si>
  <si>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</si>
  <si>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</si>
  <si>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</si>
  <si>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</si>
  <si>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</si>
  <si>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</si>
  <si>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</si>
  <si>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</si>
  <si>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</si>
  <si>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</si>
  <si>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</si>
  <si>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</si>
  <si>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</si>
  <si>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</si>
  <si>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</si>
  <si>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</si>
  <si>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</si>
  <si>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</si>
  <si>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</si>
  <si>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</si>
  <si>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</si>
  <si>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</si>
  <si>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</si>
  <si>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</si>
  <si>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</si>
  <si>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</si>
  <si>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</si>
  <si>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</si>
  <si>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</si>
  <si>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</si>
  <si>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</si>
  <si>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</si>
  <si>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</si>
  <si>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</si>
  <si>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</si>
  <si>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</si>
  <si>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</si>
  <si>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</si>
  <si>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</si>
  <si>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</si>
  <si>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</si>
  <si>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</si>
  <si>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</si>
  <si>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</si>
  <si>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</si>
  <si>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</si>
  <si>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</si>
  <si>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</si>
  <si>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</si>
  <si>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</si>
  <si>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</si>
  <si>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</si>
  <si>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</si>
  <si>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</si>
  <si>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</si>
  <si>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</si>
  <si>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</si>
  <si>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</si>
  <si>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</si>
  <si>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</si>
  <si>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</si>
  <si>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</si>
  <si>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</si>
  <si>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</si>
  <si>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</si>
  <si>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</si>
  <si>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</si>
  <si>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</si>
  <si>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</si>
  <si>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</si>
  <si>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</si>
  <si>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</si>
  <si>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</si>
  <si>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</si>
  <si>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</si>
  <si>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</si>
  <si>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</si>
  <si>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</si>
  <si>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</si>
  <si>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</si>
  <si>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</si>
  <si>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</si>
  <si>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</si>
  <si>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</si>
  <si>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</si>
  <si>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</si>
  <si>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</si>
  <si>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</si>
  <si>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</si>
  <si>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</si>
  <si>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</si>
  <si>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</si>
  <si>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</si>
  <si>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</si>
  <si>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</si>
  <si>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</si>
  <si>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</si>
  <si>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</si>
  <si>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</si>
  <si>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</si>
  <si>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</si>
  <si>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</si>
  <si>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</si>
  <si>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</si>
  <si>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</si>
  <si>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</si>
  <si>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</si>
  <si>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</si>
  <si>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</si>
  <si>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</si>
  <si>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</si>
  <si>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</si>
  <si>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</si>
  <si>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</si>
  <si>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</si>
  <si>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</si>
  <si>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</si>
  <si>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</si>
  <si>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</si>
  <si>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</si>
  <si>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</si>
  <si>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</si>
  <si>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</si>
  <si>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</si>
  <si>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</si>
  <si>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</si>
  <si>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</si>
  <si>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</si>
  <si>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</si>
  <si>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</si>
  <si>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</si>
  <si>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</si>
  <si>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</si>
  <si>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</si>
  <si>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</si>
  <si>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</si>
  <si>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</si>
  <si>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</si>
  <si>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</si>
  <si>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</si>
  <si>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</si>
  <si>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</si>
  <si>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</si>
  <si>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</si>
  <si>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</si>
  <si>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</si>
  <si>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</si>
  <si>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</si>
  <si>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</si>
  <si>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</si>
  <si>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</si>
  <si>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</si>
  <si>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</si>
  <si>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</si>
  <si>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</si>
  <si>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</si>
  <si>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</si>
  <si>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</si>
  <si>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</si>
  <si>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</si>
  <si>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</si>
  <si>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</si>
  <si>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</si>
  <si>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</si>
  <si>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</si>
  <si>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</si>
  <si>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</si>
  <si>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</si>
  <si>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</si>
  <si>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</si>
  <si>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</si>
  <si>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</si>
  <si>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</si>
  <si>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</si>
  <si>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</si>
  <si>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</si>
  <si>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</si>
  <si>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</si>
  <si>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</si>
  <si>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</si>
  <si>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</si>
  <si>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</si>
  <si>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</si>
  <si>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</si>
  <si>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</si>
  <si>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</si>
  <si>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</si>
  <si>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</si>
  <si>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</si>
  <si>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</si>
  <si>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</si>
  <si>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</si>
  <si>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</si>
  <si>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</si>
  <si>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</si>
  <si>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</si>
  <si>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</si>
  <si>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</si>
  <si>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</si>
  <si>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</si>
  <si>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</si>
  <si>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</si>
  <si>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</si>
  <si>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</si>
  <si>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</si>
  <si>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</si>
  <si>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</si>
  <si>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</si>
  <si>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</si>
  <si>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</si>
  <si>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</si>
  <si>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</si>
  <si>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</si>
  <si>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</si>
  <si>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</si>
  <si>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</si>
  <si>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</si>
  <si>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</si>
  <si>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</si>
  <si>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</si>
  <si>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</si>
  <si>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</si>
  <si>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</si>
  <si>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</si>
  <si>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</si>
  <si>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</si>
  <si>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</si>
  <si>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</si>
  <si>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</si>
  <si>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</si>
  <si>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</si>
  <si>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</si>
  <si>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</si>
  <si>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</si>
  <si>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</si>
  <si>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</si>
  <si>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</si>
  <si>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</si>
  <si>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</si>
  <si>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</si>
  <si>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</si>
  <si>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</si>
  <si>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</si>
  <si>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</si>
  <si>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</si>
  <si>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</si>
  <si>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</si>
  <si>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</si>
  <si>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</si>
  <si>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</si>
  <si>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</si>
  <si>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</si>
  <si>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</si>
  <si>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</si>
  <si>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</si>
  <si>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</si>
  <si>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</si>
  <si>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</si>
  <si>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</si>
  <si>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</si>
  <si>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</si>
  <si>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</si>
  <si>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</si>
  <si>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</si>
  <si>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</si>
  <si>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</si>
  <si>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</si>
  <si>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</si>
  <si>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</si>
  <si>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</si>
  <si>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</si>
  <si>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</si>
  <si>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</si>
  <si>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</si>
  <si>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</si>
  <si>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</si>
  <si>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</si>
  <si>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</si>
  <si>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</si>
  <si>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</si>
  <si>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</si>
  <si>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</si>
  <si>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</si>
  <si>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</si>
  <si>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</si>
  <si>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</si>
  <si>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</si>
  <si>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</si>
  <si>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</si>
  <si>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</si>
  <si>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</si>
  <si>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</si>
  <si>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</si>
  <si>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</si>
  <si>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</si>
  <si>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</si>
  <si>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</si>
  <si>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</si>
  <si>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</si>
  <si>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</si>
  <si>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</si>
  <si>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</si>
  <si>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</si>
  <si>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</si>
  <si>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</si>
  <si>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</si>
  <si>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</si>
  <si>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</si>
  <si>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</si>
  <si>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</si>
  <si>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</si>
  <si>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</si>
  <si>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</si>
  <si>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</si>
  <si>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</si>
  <si>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</si>
  <si>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</si>
  <si>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</si>
  <si>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</si>
  <si>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</si>
  <si>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</si>
  <si>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</si>
  <si>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</si>
  <si>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</si>
  <si>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</si>
  <si>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</si>
  <si>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</si>
  <si>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</si>
  <si>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</si>
  <si>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</si>
  <si>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</si>
  <si>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</si>
  <si>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</si>
  <si>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</si>
  <si>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</si>
  <si>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</si>
  <si>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</si>
  <si>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</si>
  <si>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</si>
  <si>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</si>
  <si>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</si>
  <si>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</si>
  <si>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</si>
  <si>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</si>
  <si>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</si>
  <si>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</si>
  <si>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</si>
  <si>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</si>
  <si>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</si>
  <si>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</si>
  <si>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</si>
  <si>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</si>
  <si>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</si>
  <si>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</si>
  <si>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</si>
  <si>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</si>
  <si>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</si>
  <si>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</si>
  <si>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</si>
  <si>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</si>
  <si>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</si>
  <si>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</si>
  <si>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</si>
  <si>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</si>
  <si>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</si>
  <si>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</si>
  <si>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</si>
  <si>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</si>
  <si>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</si>
  <si>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</si>
  <si>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</si>
  <si>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</si>
  <si>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</si>
  <si>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</si>
  <si>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</si>
  <si>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</si>
  <si>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</si>
  <si>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</si>
  <si>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</si>
  <si>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</si>
  <si>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</si>
  <si>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</si>
  <si>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</si>
  <si>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</si>
  <si>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</si>
  <si>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</si>
  <si>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</si>
  <si>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</si>
  <si>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</si>
  <si>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</si>
  <si>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</si>
  <si>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</si>
  <si>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</si>
  <si>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</si>
  <si>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</si>
  <si>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</si>
  <si>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</si>
  <si>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</si>
  <si>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</si>
  <si>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</si>
  <si>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</si>
  <si>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</si>
  <si>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</si>
  <si>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</si>
  <si>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</si>
  <si>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</si>
  <si>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</si>
  <si>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</si>
  <si>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</si>
  <si>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</si>
  <si>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</si>
  <si>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</si>
  <si>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</si>
  <si>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</si>
  <si>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</si>
  <si>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</si>
  <si>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</si>
  <si>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</si>
  <si>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</si>
  <si>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</si>
  <si>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</si>
  <si>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</si>
  <si>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</si>
  <si>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</si>
  <si>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</si>
  <si>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</si>
  <si>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</si>
  <si>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</si>
  <si>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</si>
  <si>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</si>
  <si>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</si>
  <si>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</si>
  <si>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</si>
  <si>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</si>
  <si>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</si>
  <si>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</si>
  <si>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</si>
  <si>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</si>
  <si>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</si>
  <si>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</si>
  <si>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</si>
  <si>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</si>
  <si>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</si>
  <si>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</si>
  <si>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</si>
  <si>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</si>
  <si>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</si>
  <si>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</si>
  <si>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</si>
  <si>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</si>
  <si>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</si>
  <si>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</si>
  <si>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</si>
  <si>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</si>
  <si>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</si>
  <si>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</si>
  <si>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</si>
  <si>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</si>
  <si>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</si>
  <si>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</si>
  <si>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</si>
  <si>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</si>
  <si>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</si>
  <si>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</si>
  <si>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</si>
  <si>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</si>
  <si>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</si>
  <si>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</si>
  <si>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</si>
  <si>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</si>
  <si>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</si>
  <si>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</si>
  <si>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</si>
  <si>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</si>
  <si>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</si>
  <si>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</si>
  <si>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</si>
  <si>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</si>
  <si>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</si>
  <si>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</si>
  <si>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</si>
  <si>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</si>
  <si>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</si>
  <si>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</si>
  <si>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</si>
  <si>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</si>
  <si>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</si>
  <si>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</si>
  <si>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</si>
  <si>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</si>
  <si>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</si>
  <si>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</si>
  <si>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</si>
  <si>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</si>
  <si>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</si>
  <si>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</si>
  <si>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</si>
  <si>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</si>
  <si>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</si>
  <si>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</si>
  <si>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</si>
  <si>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</si>
  <si>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</si>
  <si>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</si>
  <si>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</si>
  <si>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</si>
  <si>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</si>
  <si>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</si>
  <si>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</si>
  <si>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</si>
  <si>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</si>
  <si>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</si>
  <si>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</si>
  <si>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</si>
  <si>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</si>
  <si>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</si>
  <si>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</si>
  <si>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</si>
  <si>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</si>
  <si>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</si>
  <si>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</si>
  <si>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</si>
  <si>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</si>
  <si>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</si>
  <si>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</si>
  <si>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</si>
  <si>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</si>
  <si>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</si>
  <si>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</si>
  <si>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</si>
  <si>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</si>
  <si>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</si>
  <si>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</si>
  <si>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</si>
  <si>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</si>
  <si>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</si>
  <si>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</si>
  <si>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</si>
  <si>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</si>
  <si>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</si>
  <si>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</si>
  <si>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</si>
  <si>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</si>
  <si>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</si>
  <si>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</si>
  <si>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</si>
  <si>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</si>
  <si>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</si>
  <si>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</si>
  <si>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</si>
  <si>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</si>
  <si>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</si>
  <si>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</si>
  <si>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</si>
  <si>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</si>
  <si>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</si>
  <si>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</si>
  <si>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</si>
  <si>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</si>
  <si>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</si>
  <si>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</si>
  <si>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</si>
  <si>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</si>
  <si>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</si>
  <si>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</si>
  <si>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</si>
  <si>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</si>
  <si>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</si>
  <si>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</si>
  <si>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</si>
  <si>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</si>
  <si>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</si>
  <si>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</si>
  <si>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</si>
  <si>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</si>
  <si>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</si>
  <si>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</si>
  <si>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</si>
  <si>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</si>
  <si>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</si>
  <si>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</si>
  <si>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</si>
  <si>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</si>
  <si>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</si>
  <si>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</si>
  <si>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</si>
  <si>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</si>
  <si>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</si>
  <si>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</si>
  <si>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</si>
  <si>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</si>
  <si>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</si>
  <si>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</si>
  <si>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</si>
  <si>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</si>
  <si>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</si>
  <si>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</si>
  <si>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</si>
  <si>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</si>
  <si>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</si>
  <si>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</si>
  <si>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</si>
  <si>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</si>
  <si>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</si>
  <si>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</si>
  <si>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</si>
  <si>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</si>
  <si>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</si>
  <si>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</si>
  <si>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</si>
  <si>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</si>
  <si>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</si>
  <si>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</si>
  <si>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</si>
  <si>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</si>
  <si>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</si>
  <si>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</si>
  <si>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</si>
  <si>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</si>
  <si>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</si>
  <si>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</si>
  <si>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</si>
  <si>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</si>
  <si>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</si>
  <si>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</si>
  <si>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</si>
  <si>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</si>
  <si>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</si>
  <si>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</si>
  <si>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</si>
  <si>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</si>
  <si>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</si>
  <si>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</si>
  <si>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</si>
  <si>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</si>
  <si>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</si>
  <si>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</si>
  <si>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</si>
  <si>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</si>
  <si>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</si>
  <si>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</si>
  <si>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</si>
  <si>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</si>
  <si>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</si>
  <si>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</si>
  <si>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</si>
  <si>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</si>
  <si>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</si>
  <si>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</si>
  <si>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</si>
  <si>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</si>
  <si>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</si>
  <si>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</si>
  <si>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</si>
  <si>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</si>
  <si>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</si>
  <si>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</si>
  <si>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</si>
  <si>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</si>
  <si>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</si>
  <si>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</si>
  <si>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</si>
  <si>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</si>
  <si>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</si>
  <si>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</si>
  <si>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</si>
  <si>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</si>
  <si>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</si>
  <si>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</si>
  <si>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</si>
  <si>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</si>
  <si>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</si>
  <si>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</si>
  <si>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</si>
  <si>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</si>
  <si>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</si>
  <si>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</si>
  <si>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</si>
  <si>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</si>
  <si>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</si>
  <si>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</si>
  <si>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</si>
  <si>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</si>
  <si>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</si>
  <si>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</si>
  <si>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</si>
  <si>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</si>
  <si>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</si>
  <si>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</si>
  <si>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</si>
  <si>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</si>
  <si>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</si>
  <si>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</si>
  <si>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</si>
  <si>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</si>
  <si>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</si>
  <si>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</si>
  <si>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</si>
  <si>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</si>
  <si>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</si>
  <si>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</si>
  <si>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</si>
  <si>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</si>
  <si>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</si>
  <si>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</si>
  <si>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</si>
  <si>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</si>
  <si>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</si>
  <si>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</si>
  <si>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</si>
  <si>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</si>
  <si>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</si>
  <si>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</si>
  <si>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</si>
  <si>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</si>
  <si>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</si>
  <si>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</si>
  <si>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</si>
  <si>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</si>
  <si>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</si>
  <si>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Epidemic Response Committee (Simon Bridges</t>
  </si>
  <si>
    <t>Kiri Allan</t>
  </si>
  <si>
    <t>Paula Bennett</t>
  </si>
  <si>
    <t>Marama Davidson</t>
  </si>
  <si>
    <t>Ruth Dyson</t>
  </si>
  <si>
    <t>Paul Goldsmith</t>
  </si>
  <si>
    <t>Shane Reti</t>
  </si>
  <si>
    <t>David Seymour</t>
  </si>
  <si>
    <t>Fletcher Tabuteau</t>
  </si>
  <si>
    <t>Michael Wood</t>
  </si>
  <si>
    <t>Michael Woodhouse)</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</si>
  <si>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</si>
  <si>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</si>
  <si>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</si>
  <si>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</si>
  <si>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</si>
  <si>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</si>
  <si>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</si>
  <si>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</si>
  <si>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</si>
  <si>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</si>
  <si>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</si>
  <si>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</si>
  <si>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</si>
  <si>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</si>
  <si>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</si>
  <si>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</si>
  <si>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</si>
  <si>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</si>
  <si>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</si>
  <si>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</si>
  <si>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</si>
  <si>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</si>
  <si>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</si>
  <si>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</si>
  <si>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</si>
  <si>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</si>
  <si>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</si>
  <si>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</si>
  <si>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</si>
  <si>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</si>
  <si>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</si>
  <si>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</si>
  <si>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</si>
  <si>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</si>
  <si>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</si>
  <si>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</si>
  <si>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</si>
  <si>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</si>
  <si>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</si>
  <si>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</si>
  <si>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</si>
  <si>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</si>
  <si>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</si>
  <si>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</si>
  <si>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</si>
  <si>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</si>
  <si>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</si>
  <si>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</si>
  <si>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</si>
  <si>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</si>
  <si>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</si>
  <si>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</si>
  <si>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</si>
  <si>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</si>
  <si>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</si>
  <si>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</si>
  <si>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</si>
  <si>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</si>
  <si>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</si>
  <si>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</si>
  <si>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</si>
  <si>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</si>
  <si>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</si>
  <si>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</si>
  <si>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</si>
  <si>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</si>
  <si>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</si>
  <si>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</si>
  <si>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</si>
  <si>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22 Jan – 8 Mar</t>
  </si>
  <si>
    <t>Contact us</t>
  </si>
  <si>
    <t>Donate</t>
  </si>
  <si>
    <t>Contribute</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</si>
  <si>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</si>
  <si>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</si>
  <si>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</si>
  <si>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</si>
  <si>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</si>
  <si>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</si>
  <si>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</si>
  <si>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</si>
  <si>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</si>
  <si>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</si>
  <si>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</si>
  <si>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</si>
  <si>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</si>
  <si>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</si>
  <si>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</si>
  <si>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</si>
  <si>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</si>
  <si>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</si>
  <si>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</si>
  <si>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</si>
  <si>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</si>
  <si>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</si>
  <si>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</si>
  <si>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</si>
  <si>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</si>
  <si>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</si>
  <si>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</si>
  <si>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</si>
  <si>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</si>
  <si>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</si>
  <si>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</si>
  <si>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</si>
  <si>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</si>
  <si>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</si>
  <si>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</si>
  <si>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</si>
  <si>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</si>
  <si>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</si>
  <si>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</si>
  <si>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</si>
  <si>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</si>
  <si>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t>
  </si>
  <si>
    <t>Timeline of the COVID-19 pandemic in New Zealand</t>
  </si>
  <si>
    <t>Megan Woods</t>
  </si>
  <si>
    <t>Cases in managed isolation and quarantine</t>
  </si>
  <si>
    <t xml:space="preserve">Active cases in MI &amp; Q facilities </t>
  </si>
  <si>
    <t>Managed Isolation</t>
  </si>
  <si>
    <t>Confirmed cases identified at the border (total)</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</si>
  <si>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</si>
  <si>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</si>
  <si>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</si>
  <si>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</si>
  <si>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</si>
  <si>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</si>
  <si>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</si>
  <si>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</si>
  <si>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</si>
  <si>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</si>
  <si>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</si>
  <si>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</si>
  <si>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</si>
  <si>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</si>
  <si>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</si>
  <si>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</si>
  <si>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</si>
  <si>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</si>
  <si>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</si>
  <si>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</si>
  <si>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</si>
  <si>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</si>
  <si>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</si>
  <si>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</si>
  <si>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</si>
  <si>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</si>
  <si>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</si>
  <si>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</si>
  <si>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</si>
  <si>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</si>
  <si>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</si>
  <si>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</si>
  <si>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</si>
  <si>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</si>
  <si>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</si>
  <si>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The Warehouse Group</t>
  </si>
  <si>
    <t>Supplies in stock *</t>
  </si>
  <si>
    <t>Managed Isolation &amp; Quarantine</t>
  </si>
  <si>
    <t>As at 9.00 am, 22 September 2020</t>
  </si>
  <si>
    <t>Total cases by DHB, as at 9.00 am, 22 September 2020</t>
  </si>
  <si>
    <t>Source: DHB survey as at 9.00 am, 22 September 2020</t>
  </si>
  <si>
    <t>Total cases by age as at 9.00 am, 22 September 2020</t>
  </si>
  <si>
    <t>Lab testing for COVID-19 as at 9.00 am 22 September 2020</t>
  </si>
  <si>
    <t>15 September to 21 September 2020</t>
  </si>
  <si>
    <t>22 January to 21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</si>
</sst>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F800]dddd\,\ mmmm\ dd\,\ yyyy"/>
    <numFmt numFmtId="169" formatCode="0.00000%"/>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5">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43" fontId="0" fillId="0" borderId="0" xfId="0"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xf numFmtId="169" fontId="0" fillId="0" borderId="0" xfId="8" applyNumberFormat="1" applyFont="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22" workbookViewId="0">
      <selection activeCell="E41" sqref="E41"/>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486</v>
      </c>
    </row>
    <row r="4" spans="1:22" x14ac:dyDescent="0.3">
      <c r="A4" s="3" t="s">
        <v>1</v>
      </c>
      <c r="B4" t="str">
        <f>CONCATENATE($C$4,A4,$F$4," ",G4," , ",$I$4," ",J4,", ",$L$4," ",M4," ,",$O$4," ",P4," ,",$Q$4," ",R4," ,",$S$4," ",T4,", ",$D$4)</f>
        <v>&lt;title&gt;Auckland DHB @Pop = 545640 ,   Confirmed  = 0, new today= 0 ,Active Active cases in MI &amp; Q facilities  ,Recovered 0 ,Deaths 0, &lt;/title&gt;</v>
      </c>
      <c r="C4" t="s">
        <v>515</v>
      </c>
      <c r="D4" t="s">
        <v>516</v>
      </c>
      <c r="E4" t="s">
        <v>489</v>
      </c>
      <c r="F4" t="s">
        <v>487</v>
      </c>
      <c r="G4" s="47">
        <f>VLOOKUP(A4,ImportPopDBH!$A$48:$E$67,5)</f>
        <v>545640</v>
      </c>
      <c r="H4" t="s">
        <v>488</v>
      </c>
      <c r="I4" t="s">
        <v>538</v>
      </c>
      <c r="J4">
        <f>'ImportMoH combined'!E13</f>
        <v>0</v>
      </c>
      <c r="K4" t="s">
        <v>488</v>
      </c>
      <c r="L4" t="s">
        <v>537</v>
      </c>
      <c r="M4">
        <f>'ImportMoH combined'!G13</f>
        <v>0</v>
      </c>
      <c r="N4" t="s">
        <v>488</v>
      </c>
      <c r="O4" t="s">
        <v>818</v>
      </c>
      <c r="P4" t="str">
        <f>'ImportMoH combined'!B13</f>
        <v xml:space="preserve">Active cases in MI &amp; Q facilities </v>
      </c>
      <c r="Q4" t="s">
        <v>819</v>
      </c>
      <c r="R4">
        <f>'ImportMoH combined'!C13</f>
        <v>0</v>
      </c>
      <c r="S4" t="s">
        <v>829</v>
      </c>
      <c r="T4">
        <f>'ImportMoH combined'!D13</f>
        <v>0</v>
      </c>
      <c r="U4" t="s">
        <v>539</v>
      </c>
      <c r="V4">
        <f>'ImportMoH combined'!H13</f>
        <v>0</v>
      </c>
    </row>
    <row r="5" spans="1:22" x14ac:dyDescent="0.3">
      <c r="A5" s="3" t="s">
        <v>2</v>
      </c>
      <c r="B5" t="str">
        <f t="shared" ref="B5:B23" si="0">CONCATENATE($C$4,A5,$F$4," ",G5," , ",$I$4," ",J5,", ",$L$4," ",M5," ,",$O$4," ",P5," ,",$Q$4," ",R5," ,",$S$4," ",T5,", ",$D$4)</f>
        <v>&lt;title&gt;Bay of Plenty DHB @Pop = 238380 ,   Confirmed  = 0, new today= 0 ,Active 29 ,Recovered 0 ,Deaths 0, &lt;/title&gt;</v>
      </c>
      <c r="G5" s="47">
        <f>VLOOKUP(A5,ImportPopDBH!$A$48:$E$67,5)</f>
        <v>238380</v>
      </c>
      <c r="J5">
        <f>'ImportMoH combined'!E14</f>
        <v>0</v>
      </c>
      <c r="M5">
        <f>'ImportMoH combined'!G14</f>
        <v>0</v>
      </c>
      <c r="P5">
        <f>'ImportMoH combined'!B14</f>
        <v>29</v>
      </c>
      <c r="R5">
        <f>'ImportMoH combined'!C14</f>
        <v>0</v>
      </c>
      <c r="T5">
        <f>'ImportMoH combined'!D14</f>
        <v>0</v>
      </c>
      <c r="V5">
        <f>'ImportMoH combined'!H14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combined'!G15</f>
        <v>0</v>
      </c>
      <c r="P6">
        <f>'ImportMoH combined'!B15</f>
        <v>0</v>
      </c>
      <c r="R6">
        <f>'ImportMoH combined'!C15</f>
        <v>0</v>
      </c>
      <c r="T6">
        <f>'ImportMoH combined'!D15</f>
        <v>0</v>
      </c>
      <c r="V6">
        <f>'ImportMoH combined'!H17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combined'!G16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0 ,Active Active ,Recovered Recovered ,Deaths Deceased, &lt;/title&gt;</v>
      </c>
      <c r="G8" s="47">
        <f>VLOOKUP(A8,ImportPopDBH!$A$48:$E$67,5)</f>
        <v>563210</v>
      </c>
      <c r="J8" t="str">
        <f>'ImportMoH combined'!E17</f>
        <v>Total</v>
      </c>
      <c r="M8">
        <f>'ImportMoH combined'!G17</f>
        <v>0</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223, new today= 0 ,Active 9 ,Recovered 213 ,Deaths 1, &lt;/title&gt;</v>
      </c>
      <c r="G9" s="47">
        <f>VLOOKUP(A9,ImportPopDBH!$A$48:$E$67,5)</f>
        <v>165610</v>
      </c>
      <c r="J9">
        <f>'ImportMoH combined'!E18</f>
        <v>223</v>
      </c>
      <c r="M9">
        <f>'ImportMoH combined'!G18</f>
        <v>0</v>
      </c>
      <c r="P9">
        <f>'ImportMoH combined'!B18</f>
        <v>9</v>
      </c>
      <c r="R9">
        <f>'ImportMoH combined'!C18</f>
        <v>213</v>
      </c>
      <c r="T9">
        <f>'ImportMoH combined'!D18</f>
        <v>1</v>
      </c>
      <c r="V9">
        <f>'ImportMoH combined'!H18</f>
        <v>0</v>
      </c>
    </row>
    <row r="10" spans="1:22" x14ac:dyDescent="0.3">
      <c r="A10" s="3" t="s">
        <v>12</v>
      </c>
      <c r="B10" t="str">
        <f t="shared" si="0"/>
        <v>&lt;title&gt;Hutt Valley DHB @Pop = 149680 ,   Confirmed  = 48, new today= 0 ,Active 0 ,Recovered 48 ,Deaths 0, &lt;/title&gt;</v>
      </c>
      <c r="G10" s="47">
        <f>VLOOKUP(A10,ImportPopDBH!$A$48:$E$67,5)</f>
        <v>149680</v>
      </c>
      <c r="J10">
        <f>'ImportMoH combined'!E19</f>
        <v>48</v>
      </c>
      <c r="M10">
        <f>'ImportMoH combined'!G19</f>
        <v>0</v>
      </c>
      <c r="P10">
        <f>'ImportMoH combined'!B19</f>
        <v>0</v>
      </c>
      <c r="R10">
        <f>'ImportMoH combined'!C19</f>
        <v>48</v>
      </c>
      <c r="T10">
        <f>'ImportMoH combined'!D19</f>
        <v>0</v>
      </c>
      <c r="V10">
        <f>'ImportMoH combined'!H19</f>
        <v>0</v>
      </c>
    </row>
    <row r="11" spans="1:22" x14ac:dyDescent="0.3">
      <c r="A11" s="3" t="s">
        <v>16</v>
      </c>
      <c r="B11" t="str">
        <f t="shared" si="0"/>
        <v>&lt;title&gt;Lakes DHB @Pop = 110410 ,   Confirmed  = 164, new today= 0 ,Active 0 ,Recovered 152 ,Deaths 12, &lt;/title&gt;</v>
      </c>
      <c r="G11" s="47">
        <f>VLOOKUP(A11,ImportPopDBH!$A$48:$E$67,5)</f>
        <v>110410</v>
      </c>
      <c r="J11">
        <f>'ImportMoH combined'!E20</f>
        <v>164</v>
      </c>
      <c r="M11">
        <f>'ImportMoH combined'!G20</f>
        <v>0</v>
      </c>
      <c r="P11">
        <f>'ImportMoH combined'!B20</f>
        <v>0</v>
      </c>
      <c r="R11">
        <f>'ImportMoH combined'!C20</f>
        <v>152</v>
      </c>
      <c r="T11">
        <f>'ImportMoH combined'!D20</f>
        <v>12</v>
      </c>
      <c r="V11">
        <f>'ImportMoH combined'!H20</f>
        <v>0</v>
      </c>
    </row>
    <row r="12" spans="1:22" x14ac:dyDescent="0.3">
      <c r="A12" s="3" t="s">
        <v>13</v>
      </c>
      <c r="B12" t="str">
        <f t="shared" si="0"/>
        <v>&lt;title&gt;MidCentral DHB @Pop = 178820 ,   Confirmed  = 95, new today= 0 ,Active 0 ,Recovered 93 ,Deaths 2, &lt;/title&gt;</v>
      </c>
      <c r="G12" s="47">
        <f>VLOOKUP(A12,ImportPopDBH!$A$48:$E$67,5)</f>
        <v>178820</v>
      </c>
      <c r="J12">
        <f>'ImportMoH combined'!E21</f>
        <v>95</v>
      </c>
      <c r="M12">
        <f>'ImportMoH combined'!G21</f>
        <v>0</v>
      </c>
      <c r="P12">
        <f>'ImportMoH combined'!B21</f>
        <v>0</v>
      </c>
      <c r="R12">
        <f>'ImportMoH combined'!C21</f>
        <v>93</v>
      </c>
      <c r="T12">
        <f>'ImportMoH combined'!D21</f>
        <v>2</v>
      </c>
      <c r="V12">
        <f>'ImportMoH combined'!H21</f>
        <v>0</v>
      </c>
    </row>
    <row r="13" spans="1:22" x14ac:dyDescent="0.3">
      <c r="A13" s="3" t="s">
        <v>7</v>
      </c>
      <c r="B13" t="str">
        <f t="shared" si="0"/>
        <v>&lt;title&gt;Nelson Marlborough DHB @Pop = 150770 ,   Confirmed  = 213, new today= 0 ,Active 11 ,Recovered 201 ,Deaths 1, &lt;/title&gt;</v>
      </c>
      <c r="G13" s="47">
        <f>VLOOKUP(A13,ImportPopDBH!$A$48:$E$67,5)</f>
        <v>150770</v>
      </c>
      <c r="J13">
        <f>'ImportMoH combined'!E22</f>
        <v>213</v>
      </c>
      <c r="M13">
        <f>'ImportMoH combined'!G22</f>
        <v>0</v>
      </c>
      <c r="P13">
        <f>'ImportMoH combined'!B22</f>
        <v>11</v>
      </c>
      <c r="R13">
        <f>'ImportMoH combined'!C22</f>
        <v>201</v>
      </c>
      <c r="T13">
        <f>'ImportMoH combined'!D22</f>
        <v>1</v>
      </c>
      <c r="V13">
        <f>'ImportMoH combined'!H22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combined'!G23</f>
        <v>0</v>
      </c>
      <c r="P14">
        <f>'ImportMoH combined'!B23</f>
        <v>0</v>
      </c>
      <c r="R14">
        <f>'ImportMoH combined'!C23</f>
        <v>44</v>
      </c>
      <c r="T14">
        <f>'ImportMoH combined'!D23</f>
        <v>0</v>
      </c>
      <c r="V14">
        <f>'ImportMoH combined'!H23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combined'!G24</f>
        <v>0</v>
      </c>
      <c r="P15">
        <f>'ImportMoH combined'!B24</f>
        <v>0</v>
      </c>
      <c r="R15">
        <f>'ImportMoH combined'!C24</f>
        <v>22</v>
      </c>
      <c r="T15">
        <f>'ImportMoH combined'!D24</f>
        <v>0</v>
      </c>
      <c r="V15">
        <f>'ImportMoH combined'!H24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combined'!G25</f>
        <v>0</v>
      </c>
      <c r="P16">
        <f>'ImportMoH combined'!B25</f>
        <v>0</v>
      </c>
      <c r="R16">
        <f>'ImportMoH combined'!C25</f>
        <v>16</v>
      </c>
      <c r="T16">
        <f>'ImportMoH combined'!D25</f>
        <v>0</v>
      </c>
      <c r="V16">
        <f>'ImportMoH combined'!H25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combined'!G26</f>
        <v>0</v>
      </c>
      <c r="P17">
        <f>'ImportMoH combined'!B26</f>
        <v>0</v>
      </c>
      <c r="R17">
        <f>'ImportMoH combined'!C26</f>
        <v>32</v>
      </c>
      <c r="T17">
        <f>'ImportMoH combined'!D26</f>
        <v>0</v>
      </c>
      <c r="V17">
        <f>'ImportMoH combined'!H26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combined'!G27</f>
        <v>0</v>
      </c>
      <c r="P18">
        <f>'ImportMoH combined'!B27</f>
        <v>0</v>
      </c>
      <c r="R18">
        <f>'ImportMoH combined'!C27</f>
        <v>49</v>
      </c>
      <c r="T18">
        <f>'ImportMoH combined'!D27</f>
        <v>0</v>
      </c>
      <c r="V18">
        <f>'ImportMoH combined'!H27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combined'!G28</f>
        <v>0</v>
      </c>
      <c r="P19">
        <f>'ImportMoH combined'!B28</f>
        <v>0</v>
      </c>
      <c r="R19">
        <f>'ImportMoH combined'!C28</f>
        <v>28</v>
      </c>
      <c r="T19">
        <f>'ImportMoH combined'!D28</f>
        <v>0</v>
      </c>
      <c r="V19">
        <f>'ImportMoH combined'!H28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combined'!G29</f>
        <v>0</v>
      </c>
      <c r="P20">
        <f>'ImportMoH combined'!B29</f>
        <v>0</v>
      </c>
      <c r="R20">
        <f>'ImportMoH combined'!C29</f>
        <v>17</v>
      </c>
      <c r="T20">
        <f>'ImportMoH combined'!D29</f>
        <v>0</v>
      </c>
      <c r="V20" t="str">
        <f>'ImportMoH combined'!H29</f>
        <v>Active</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combined'!G30</f>
        <v>0</v>
      </c>
      <c r="P21">
        <f>'ImportMoH combined'!B30</f>
        <v>0</v>
      </c>
      <c r="R21">
        <f>'ImportMoH combined'!C30</f>
        <v>214</v>
      </c>
      <c r="T21">
        <f>'ImportMoH combined'!D30</f>
        <v>2</v>
      </c>
      <c r="V21">
        <f>'ImportMoH combined'!H30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combined'!G31</f>
        <v>0</v>
      </c>
      <c r="P22">
        <f>'ImportMoH combined'!B31</f>
        <v>0</v>
      </c>
      <c r="R22">
        <f>'ImportMoH combined'!C31</f>
        <v>4</v>
      </c>
      <c r="T22">
        <f>'ImportMoH combined'!D31</f>
        <v>0</v>
      </c>
      <c r="V22">
        <f>'ImportMoH combined'!H31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combined'!G32</f>
        <v>0</v>
      </c>
      <c r="P23">
        <f>'ImportMoH combined'!B32</f>
        <v>0</v>
      </c>
      <c r="R23">
        <f>'ImportMoH combined'!C32</f>
        <v>16</v>
      </c>
      <c r="T23">
        <f>'ImportMoH combined'!D32</f>
        <v>0</v>
      </c>
      <c r="V23">
        <f>'ImportMoH combined'!H32</f>
        <v>0</v>
      </c>
    </row>
    <row r="25" spans="1:22" x14ac:dyDescent="0.3">
      <c r="J25">
        <f>SUM(J4:J24)</f>
        <v>1187</v>
      </c>
      <c r="M25">
        <f>SUM(M4:M24)</f>
        <v>0</v>
      </c>
    </row>
    <row r="28" spans="1:22" x14ac:dyDescent="0.3">
      <c r="E28" t="s">
        <v>479</v>
      </c>
    </row>
    <row r="29" spans="1:22" x14ac:dyDescent="0.3">
      <c r="E29" t="s">
        <v>480</v>
      </c>
    </row>
    <row r="30" spans="1:22" x14ac:dyDescent="0.3">
      <c r="E30" t="s">
        <v>481</v>
      </c>
    </row>
    <row r="31" spans="1:22" x14ac:dyDescent="0.3">
      <c r="E31" t="s">
        <v>482</v>
      </c>
    </row>
    <row r="32" spans="1:22" x14ac:dyDescent="0.3">
      <c r="E32" t="s">
        <v>483</v>
      </c>
    </row>
    <row r="33" spans="5:15" x14ac:dyDescent="0.3">
      <c r="E33" t="s">
        <v>484</v>
      </c>
    </row>
    <row r="34" spans="5:15" x14ac:dyDescent="0.3">
      <c r="E34" t="s">
        <v>485</v>
      </c>
    </row>
    <row r="35" spans="5:15" x14ac:dyDescent="0.3">
      <c r="E35" t="s">
        <v>257</v>
      </c>
      <c r="O35" s="10" t="s">
        <v>514</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abSelected="1" topLeftCell="A112" zoomScale="85" zoomScaleNormal="85" workbookViewId="0">
      <selection activeCell="B112" sqref="B1:B1048576"/>
    </sheetView>
  </sheetViews>
  <sheetFormatPr defaultRowHeight="15.05" x14ac:dyDescent="0.3"/>
  <cols>
    <col min="1" max="1" width="21.88671875" customWidth="1"/>
    <col min="2" max="2" width="177.77734375" customWidth="1"/>
    <col min="3" max="3" width="19.5546875" customWidth="1"/>
    <col min="4" max="4" width="40.664062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357</v>
      </c>
    </row>
    <row r="2" spans="1:3" x14ac:dyDescent="0.3">
      <c r="B2" t="str">
        <f t="shared" si="0"/>
        <v>&lt;html&gt;</v>
      </c>
      <c r="C2" t="s">
        <v>358</v>
      </c>
    </row>
    <row r="3" spans="1:3" x14ac:dyDescent="0.3">
      <c r="B3" t="str">
        <f t="shared" si="0"/>
        <v>&lt;head&gt;</v>
      </c>
      <c r="C3" s="43" t="s">
        <v>359</v>
      </c>
    </row>
    <row r="4" spans="1:3" x14ac:dyDescent="0.3">
      <c r="A4" s="13" t="s">
        <v>608</v>
      </c>
      <c r="B4" t="str">
        <f t="shared" si="0"/>
        <v>&lt;meta http-equiv="Content-Type" content="text/html;charset=utf-8" /&gt;</v>
      </c>
      <c r="C4" t="s">
        <v>360</v>
      </c>
    </row>
    <row r="5" spans="1:3" x14ac:dyDescent="0.3">
      <c r="B5" t="str">
        <f t="shared" si="0"/>
        <v>  &lt;script type="text/javascript" src="https://www.gstatic.com/charts/loader.js"&gt;&lt;/script&gt;</v>
      </c>
      <c r="C5" s="52" t="s">
        <v>574</v>
      </c>
    </row>
    <row r="6" spans="1:3" x14ac:dyDescent="0.3">
      <c r="A6" s="13" t="s">
        <v>609</v>
      </c>
      <c r="B6" t="str">
        <f t="shared" si="0"/>
        <v>&lt;!-- amCharts javascript sources --&gt;</v>
      </c>
      <c r="C6" t="s">
        <v>594</v>
      </c>
    </row>
    <row r="7" spans="1:3" x14ac:dyDescent="0.3">
      <c r="B7" t="str">
        <f t="shared" si="0"/>
        <v>&lt;script type="text/javascript" src="https://www.amcharts.com/lib/3/amcharts.js"&gt;&lt;/script&gt;</v>
      </c>
      <c r="C7" t="s">
        <v>596</v>
      </c>
    </row>
    <row r="8" spans="1:3" x14ac:dyDescent="0.3">
      <c r="B8" t="str">
        <f t="shared" si="0"/>
        <v>&lt;script type="text/javascript" src="https://www.amcharts.com/lib/3/serial.js"&gt;&lt;/script&gt;</v>
      </c>
      <c r="C8" t="s">
        <v>597</v>
      </c>
    </row>
    <row r="9" spans="1:3" x14ac:dyDescent="0.3">
      <c r="B9" t="str">
        <f t="shared" si="0"/>
        <v>&lt;script type="text/javascript" src="https://www.amcharts.com/lib/3/themes/light.js"&gt;&lt;/script&gt;</v>
      </c>
      <c r="C9" t="s">
        <v>598</v>
      </c>
    </row>
    <row r="10" spans="1:3" x14ac:dyDescent="0.3">
      <c r="B10" t="str">
        <f t="shared" si="0"/>
        <v>&lt;style&gt;</v>
      </c>
      <c r="C10" t="s">
        <v>368</v>
      </c>
    </row>
    <row r="11" spans="1:3" x14ac:dyDescent="0.3">
      <c r="B11" t="str">
        <f t="shared" si="0"/>
        <v>html,body,svg { height:100% }</v>
      </c>
      <c r="C11" t="s">
        <v>469</v>
      </c>
    </row>
    <row r="12" spans="1:3" x14ac:dyDescent="0.3">
      <c r="B12" t="str">
        <f t="shared" si="0"/>
        <v>svg:not(:root) { display: inline-block; }</v>
      </c>
      <c r="C12" t="s">
        <v>470</v>
      </c>
    </row>
    <row r="13" spans="1:3" x14ac:dyDescent="0.3">
      <c r="B13" s="53" t="str">
        <f t="shared" si="0"/>
        <v>#header {</v>
      </c>
      <c r="C13" t="s">
        <v>459</v>
      </c>
    </row>
    <row r="14" spans="1:3" x14ac:dyDescent="0.3">
      <c r="B14" t="str">
        <f t="shared" si="0"/>
        <v>width: 35%;</v>
      </c>
      <c r="C14" t="s">
        <v>580</v>
      </c>
    </row>
    <row r="15" spans="1:3" x14ac:dyDescent="0.3">
      <c r="B15" t="str">
        <f t="shared" si="0"/>
        <v>float:left;</v>
      </c>
      <c r="C15" t="s">
        <v>575</v>
      </c>
    </row>
    <row r="16" spans="1:3" x14ac:dyDescent="0.3">
      <c r="B16" t="str">
        <f t="shared" si="0"/>
        <v>height: 900px;</v>
      </c>
      <c r="C16" t="s">
        <v>648</v>
      </c>
    </row>
    <row r="17" spans="2:5" x14ac:dyDescent="0.3">
      <c r="B17" t="str">
        <f t="shared" si="0"/>
        <v>}</v>
      </c>
      <c r="C17" t="s">
        <v>370</v>
      </c>
    </row>
    <row r="18" spans="2:5" x14ac:dyDescent="0.3">
      <c r="B18" s="53" t="str">
        <f t="shared" si="0"/>
        <v>#container {</v>
      </c>
      <c r="C18" t="s">
        <v>369</v>
      </c>
    </row>
    <row r="19" spans="2:5" x14ac:dyDescent="0.3">
      <c r="B19" t="str">
        <f t="shared" si="0"/>
        <v>width: 100%;</v>
      </c>
      <c r="C19" t="s">
        <v>460</v>
      </c>
    </row>
    <row r="20" spans="2:5" x14ac:dyDescent="0.3">
      <c r="B20" t="str">
        <f>C20</f>
        <v>margin: auto;</v>
      </c>
      <c r="C20" t="s">
        <v>477</v>
      </c>
    </row>
    <row r="21" spans="2:5" x14ac:dyDescent="0.3">
      <c r="B21" t="str">
        <f t="shared" si="0"/>
        <v>}</v>
      </c>
      <c r="C21" t="s">
        <v>370</v>
      </c>
    </row>
    <row r="22" spans="2:5" x14ac:dyDescent="0.3">
      <c r="B22" s="53" t="str">
        <f t="shared" ref="B22:B43" si="1">C22</f>
        <v>#map {</v>
      </c>
      <c r="C22" t="s">
        <v>549</v>
      </c>
      <c r="E22">
        <f>ROUND(132*0.25,0)</f>
        <v>33</v>
      </c>
    </row>
    <row r="23" spans="2:5" x14ac:dyDescent="0.3">
      <c r="B23" t="str">
        <f t="shared" si="1"/>
        <v>width: 35%;</v>
      </c>
      <c r="C23" t="s">
        <v>580</v>
      </c>
    </row>
    <row r="24" spans="2:5" x14ac:dyDescent="0.3">
      <c r="B24" t="str">
        <f t="shared" si="1"/>
        <v>float:left;</v>
      </c>
      <c r="C24" t="s">
        <v>575</v>
      </c>
    </row>
    <row r="25" spans="2:5" x14ac:dyDescent="0.3">
      <c r="C25" t="s">
        <v>648</v>
      </c>
    </row>
    <row r="26" spans="2:5" x14ac:dyDescent="0.3">
      <c r="B26" t="str">
        <f t="shared" si="1"/>
        <v>}</v>
      </c>
      <c r="C26" t="s">
        <v>370</v>
      </c>
    </row>
    <row r="27" spans="2:5" x14ac:dyDescent="0.3">
      <c r="D27">
        <f>1793/3</f>
        <v>597.66666666666663</v>
      </c>
    </row>
    <row r="28" spans="2:5" x14ac:dyDescent="0.3">
      <c r="B28" t="str">
        <f>C28</f>
        <v>#bold-red {</v>
      </c>
      <c r="C28" s="52" t="s">
        <v>956</v>
      </c>
    </row>
    <row r="29" spans="2:5" x14ac:dyDescent="0.3">
      <c r="B29" t="str">
        <f>C29</f>
        <v xml:space="preserve">    color: red;</v>
      </c>
      <c r="C29" s="52" t="s">
        <v>954</v>
      </c>
    </row>
    <row r="30" spans="2:5" x14ac:dyDescent="0.3">
      <c r="B30" t="str">
        <f>C30</f>
        <v xml:space="preserve">    font-weight: bold;</v>
      </c>
      <c r="C30" s="52" t="s">
        <v>955</v>
      </c>
    </row>
    <row r="31" spans="2:5" x14ac:dyDescent="0.3">
      <c r="B31" t="str">
        <f>C31</f>
        <v>}</v>
      </c>
      <c r="C31" t="s">
        <v>370</v>
      </c>
    </row>
    <row r="35" spans="2:28" x14ac:dyDescent="0.3">
      <c r="B35" t="str">
        <f t="shared" si="1"/>
        <v xml:space="preserve"> #data {</v>
      </c>
      <c r="C35" t="s">
        <v>552</v>
      </c>
    </row>
    <row r="36" spans="2:28" x14ac:dyDescent="0.3">
      <c r="B36" t="str">
        <f t="shared" si="1"/>
        <v>width: 30%;</v>
      </c>
      <c r="C36" t="s">
        <v>592</v>
      </c>
    </row>
    <row r="37" spans="2:28" x14ac:dyDescent="0.3">
      <c r="B37" t="str">
        <f t="shared" si="1"/>
        <v>float: right;</v>
      </c>
      <c r="C37" t="s">
        <v>576</v>
      </c>
    </row>
    <row r="38" spans="2:28" x14ac:dyDescent="0.3">
      <c r="B38" t="str">
        <f t="shared" si="1"/>
        <v>height: 900px;</v>
      </c>
      <c r="C38" t="s">
        <v>648</v>
      </c>
    </row>
    <row r="39" spans="2:28" x14ac:dyDescent="0.3">
      <c r="B39" t="str">
        <f t="shared" si="1"/>
        <v>}</v>
      </c>
      <c r="C39" t="s">
        <v>370</v>
      </c>
      <c r="D39" s="54"/>
      <c r="E39" s="54" t="str">
        <f>'ImportMoH combined'!B3</f>
        <v xml:space="preserve">Total       </v>
      </c>
      <c r="F39" s="54" t="str">
        <f>'ImportMoH combined'!C3</f>
        <v>Change in last 24 hours</v>
      </c>
    </row>
    <row r="40" spans="2:28" x14ac:dyDescent="0.3">
      <c r="B40" t="str">
        <f t="shared" si="1"/>
        <v>#clear {</v>
      </c>
      <c r="C40" t="s">
        <v>371</v>
      </c>
      <c r="D40" s="54" t="str">
        <f>'ImportMoH combined'!A4</f>
        <v>Number of confirmed cases in New Zealand</v>
      </c>
      <c r="E40" s="54">
        <f>'ImportMoH combined'!B4</f>
        <v>1464</v>
      </c>
      <c r="F40" s="54">
        <f>'ImportMoH combined'!C4</f>
        <v>0</v>
      </c>
      <c r="V40" t="s">
        <v>374</v>
      </c>
    </row>
    <row r="41" spans="2:28" x14ac:dyDescent="0.3">
      <c r="B41" t="str">
        <f t="shared" si="1"/>
        <v>clear: both;</v>
      </c>
      <c r="C41" t="s">
        <v>461</v>
      </c>
      <c r="D41" s="54" t="str">
        <f>'ImportMoH combined'!A5</f>
        <v>Number of probable cases</v>
      </c>
      <c r="E41" s="54">
        <f>'ImportMoH combined'!B5</f>
        <v>351</v>
      </c>
      <c r="F41" s="54">
        <f>'ImportMoH combined'!C5</f>
        <v>0</v>
      </c>
    </row>
    <row r="42" spans="2:28" x14ac:dyDescent="0.3">
      <c r="B42" t="str">
        <f t="shared" si="1"/>
        <v>}</v>
      </c>
      <c r="C42" t="s">
        <v>370</v>
      </c>
      <c r="D42" s="54" t="str">
        <f>'ImportMoH combined'!A6</f>
        <v>Number of confirmed and probable cases</v>
      </c>
      <c r="E42" s="54">
        <f>'ImportMoH combined'!B6</f>
        <v>1815</v>
      </c>
      <c r="F42" s="54">
        <f>'ImportMoH combined'!C6</f>
        <v>0</v>
      </c>
      <c r="V42" s="3" t="s">
        <v>1</v>
      </c>
      <c r="W42">
        <v>0.60438082561506901</v>
      </c>
    </row>
    <row r="43" spans="2:28" x14ac:dyDescent="0.3">
      <c r="B43" t="str">
        <f t="shared" si="1"/>
        <v>text {</v>
      </c>
      <c r="C43" s="52" t="s">
        <v>545</v>
      </c>
      <c r="D43" s="54" t="str">
        <f>'ImportMoH combined'!A7</f>
        <v>Number of recovered cases</v>
      </c>
      <c r="E43" s="54">
        <f>'ImportMoH combined'!B7</f>
        <v>1729</v>
      </c>
      <c r="F43" s="54">
        <f>'ImportMoH combined'!C7</f>
        <v>1</v>
      </c>
      <c r="V43" s="3" t="s">
        <v>2</v>
      </c>
      <c r="W43">
        <v>0.129064556313783</v>
      </c>
    </row>
    <row r="44" spans="2:28" x14ac:dyDescent="0.3">
      <c r="B44" t="str">
        <f>C44</f>
        <v>font: bold 13px Arial;</v>
      </c>
      <c r="C44" s="52" t="s">
        <v>546</v>
      </c>
      <c r="D44" s="54" t="str">
        <f>'ImportMoH combined'!A8</f>
        <v>Number of deaths</v>
      </c>
      <c r="E44" s="54">
        <f>'ImportMoH combined'!B8</f>
        <v>25</v>
      </c>
      <c r="F44" s="54">
        <f>'ImportMoH combined'!C8</f>
        <v>0</v>
      </c>
      <c r="V44" s="3" t="s">
        <v>3</v>
      </c>
      <c r="W44">
        <v>0.27281303991497202</v>
      </c>
    </row>
    <row r="45" spans="2:28" x14ac:dyDescent="0.3">
      <c r="B45" t="str">
        <f>C45</f>
        <v xml:space="preserve">  }</v>
      </c>
      <c r="C45" s="52" t="s">
        <v>543</v>
      </c>
      <c r="D45" s="54" t="str">
        <f>'ImportMoH combined'!A9</f>
        <v>Number of active cases</v>
      </c>
      <c r="E45" s="54">
        <f>'ImportMoH combined'!B9</f>
        <v>61</v>
      </c>
      <c r="F45" s="54">
        <f>'ImportMoH combined'!C9</f>
        <v>-1</v>
      </c>
      <c r="V45" t="s">
        <v>4</v>
      </c>
      <c r="W45">
        <v>0.581699216905053</v>
      </c>
    </row>
    <row r="46" spans="2:28" x14ac:dyDescent="0.3">
      <c r="B46" t="str">
        <f>C46</f>
        <v>&lt;/style&gt;</v>
      </c>
      <c r="C46" t="s">
        <v>372</v>
      </c>
      <c r="AB46" s="12" t="s">
        <v>550</v>
      </c>
    </row>
    <row r="47" spans="2:28" x14ac:dyDescent="0.3">
      <c r="AB47" s="12" t="s">
        <v>490</v>
      </c>
    </row>
    <row r="48" spans="2:28" x14ac:dyDescent="0.3">
      <c r="B48" t="str">
        <f>C48</f>
        <v>&lt;script type="text/javascript"&gt;</v>
      </c>
      <c r="C48" t="s">
        <v>553</v>
      </c>
      <c r="AB48" s="12" t="s">
        <v>491</v>
      </c>
    </row>
    <row r="49" spans="1:28" s="13" customFormat="1" x14ac:dyDescent="0.3">
      <c r="A49" s="13" t="s">
        <v>590</v>
      </c>
      <c r="AB49" s="13" t="s">
        <v>494</v>
      </c>
    </row>
    <row r="50" spans="1:28" x14ac:dyDescent="0.3">
      <c r="B50" t="str">
        <f>C50</f>
        <v>google.charts.load('current', {'packages':['table']});</v>
      </c>
      <c r="C50" t="s">
        <v>554</v>
      </c>
      <c r="AB50" s="12" t="s">
        <v>495</v>
      </c>
    </row>
    <row r="51" spans="1:28" x14ac:dyDescent="0.3">
      <c r="B51" t="str">
        <f>C51</f>
        <v>google.charts.setOnLoadCallback(drawTable);</v>
      </c>
      <c r="C51" t="s">
        <v>555</v>
      </c>
      <c r="AB51" s="12" t="s">
        <v>496</v>
      </c>
    </row>
    <row r="52" spans="1:28" x14ac:dyDescent="0.3">
      <c r="AB52" s="12" t="s">
        <v>497</v>
      </c>
    </row>
    <row r="53" spans="1:28" x14ac:dyDescent="0.3">
      <c r="B53" t="str">
        <f t="shared" ref="B53:B58" si="2">C53</f>
        <v>function drawTable() {</v>
      </c>
      <c r="C53" t="s">
        <v>556</v>
      </c>
      <c r="AB53" s="12" t="s">
        <v>498</v>
      </c>
    </row>
    <row r="54" spans="1:28" x14ac:dyDescent="0.3">
      <c r="B54" t="str">
        <f t="shared" si="2"/>
        <v>var data = new google.visualization.DataTable();</v>
      </c>
      <c r="C54" t="s">
        <v>557</v>
      </c>
      <c r="AB54" s="12" t="s">
        <v>499</v>
      </c>
    </row>
    <row r="55" spans="1:28" x14ac:dyDescent="0.3">
      <c r="B55" t="str">
        <f t="shared" si="2"/>
        <v>data.addColumn('string', 'Information');</v>
      </c>
      <c r="C55" t="s">
        <v>561</v>
      </c>
      <c r="AB55" s="12" t="s">
        <v>500</v>
      </c>
    </row>
    <row r="56" spans="1:28" x14ac:dyDescent="0.3">
      <c r="B56" t="str">
        <f t="shared" si="2"/>
        <v>data.addColumn('number', 'Total to Date');</v>
      </c>
      <c r="C56" t="s">
        <v>562</v>
      </c>
      <c r="AB56" s="12" t="s">
        <v>501</v>
      </c>
    </row>
    <row r="57" spans="1:28" x14ac:dyDescent="0.3">
      <c r="B57" t="str">
        <f t="shared" si="2"/>
        <v>data.addColumn('number', 'New in last day');</v>
      </c>
      <c r="C57" t="s">
        <v>567</v>
      </c>
      <c r="AB57" s="12" t="s">
        <v>502</v>
      </c>
    </row>
    <row r="58" spans="1:28" x14ac:dyDescent="0.3">
      <c r="B58" t="str">
        <f t="shared" si="2"/>
        <v>data.addRows([</v>
      </c>
      <c r="C58" t="s">
        <v>558</v>
      </c>
      <c r="AB58" s="12" t="s">
        <v>503</v>
      </c>
    </row>
    <row r="59" spans="1:28" x14ac:dyDescent="0.3">
      <c r="B59" t="str">
        <f t="shared" ref="B59:B64" si="3">CONCATENATE(C59,D59,E59,F59,G59,H59,I59,J59)</f>
        <v>['Number of confirmed cases in New Zealand',  {v:1464},{v:0}],</v>
      </c>
      <c r="C59" t="s">
        <v>563</v>
      </c>
      <c r="D59" t="str">
        <f t="shared" ref="D59:D64" si="4">D40</f>
        <v>Number of confirmed cases in New Zealand</v>
      </c>
      <c r="E59" s="48" t="s">
        <v>571</v>
      </c>
      <c r="F59">
        <f t="shared" ref="F59:F64" si="5">E40</f>
        <v>1464</v>
      </c>
      <c r="G59" t="s">
        <v>569</v>
      </c>
      <c r="H59">
        <f t="shared" ref="H59:H64" si="6">F40</f>
        <v>0</v>
      </c>
      <c r="I59" t="s">
        <v>570</v>
      </c>
      <c r="J59" t="s">
        <v>566</v>
      </c>
      <c r="AB59" s="12" t="s">
        <v>504</v>
      </c>
    </row>
    <row r="60" spans="1:28" x14ac:dyDescent="0.3">
      <c r="B60" t="str">
        <f t="shared" si="3"/>
        <v>['Number of probable cases',  {v:351},{v:0}],</v>
      </c>
      <c r="C60" t="s">
        <v>563</v>
      </c>
      <c r="D60" t="str">
        <f t="shared" si="4"/>
        <v>Number of probable cases</v>
      </c>
      <c r="E60" s="48" t="s">
        <v>571</v>
      </c>
      <c r="F60">
        <f t="shared" si="5"/>
        <v>351</v>
      </c>
      <c r="G60" t="s">
        <v>569</v>
      </c>
      <c r="H60">
        <f t="shared" si="6"/>
        <v>0</v>
      </c>
      <c r="I60" t="s">
        <v>570</v>
      </c>
      <c r="J60" t="s">
        <v>566</v>
      </c>
      <c r="AB60" s="12" t="s">
        <v>493</v>
      </c>
    </row>
    <row r="61" spans="1:28" x14ac:dyDescent="0.3">
      <c r="B61" t="str">
        <f t="shared" si="3"/>
        <v>['Number of confirmed and probable cases',  {v:1815},{v:0}],</v>
      </c>
      <c r="C61" t="s">
        <v>563</v>
      </c>
      <c r="D61" t="str">
        <f t="shared" si="4"/>
        <v>Number of confirmed and probable cases</v>
      </c>
      <c r="E61" s="48" t="s">
        <v>571</v>
      </c>
      <c r="F61">
        <f t="shared" si="5"/>
        <v>1815</v>
      </c>
      <c r="G61" t="s">
        <v>569</v>
      </c>
      <c r="H61">
        <f t="shared" si="6"/>
        <v>0</v>
      </c>
      <c r="I61" t="s">
        <v>570</v>
      </c>
      <c r="J61" t="s">
        <v>566</v>
      </c>
      <c r="AB61" s="12" t="s">
        <v>370</v>
      </c>
    </row>
    <row r="62" spans="1:28" x14ac:dyDescent="0.3">
      <c r="B62" t="str">
        <f t="shared" si="3"/>
        <v>['Number of recovered cases',  {v:1729},{v:1}],</v>
      </c>
      <c r="C62" t="s">
        <v>563</v>
      </c>
      <c r="D62" t="str">
        <f t="shared" si="4"/>
        <v>Number of recovered cases</v>
      </c>
      <c r="E62" s="48" t="s">
        <v>571</v>
      </c>
      <c r="F62">
        <f t="shared" si="5"/>
        <v>1729</v>
      </c>
      <c r="G62" t="s">
        <v>569</v>
      </c>
      <c r="H62">
        <f t="shared" si="6"/>
        <v>1</v>
      </c>
      <c r="I62" t="s">
        <v>570</v>
      </c>
      <c r="J62" t="s">
        <v>566</v>
      </c>
      <c r="AB62" s="12" t="s">
        <v>492</v>
      </c>
    </row>
    <row r="63" spans="1:28" x14ac:dyDescent="0.3">
      <c r="B63" t="str">
        <f t="shared" si="3"/>
        <v>['Number of deaths',  {v:25},{v:0}],</v>
      </c>
      <c r="C63" t="s">
        <v>563</v>
      </c>
      <c r="D63" t="str">
        <f t="shared" si="4"/>
        <v>Number of deaths</v>
      </c>
      <c r="E63" s="48" t="s">
        <v>571</v>
      </c>
      <c r="F63">
        <f t="shared" si="5"/>
        <v>25</v>
      </c>
      <c r="G63" t="s">
        <v>569</v>
      </c>
      <c r="H63">
        <f t="shared" si="6"/>
        <v>0</v>
      </c>
      <c r="I63" t="s">
        <v>570</v>
      </c>
      <c r="J63" t="s">
        <v>566</v>
      </c>
      <c r="AB63" s="12"/>
    </row>
    <row r="64" spans="1:28" x14ac:dyDescent="0.3">
      <c r="B64" t="str">
        <f t="shared" si="3"/>
        <v>['Number of active cases',  {v:61},{v:-1}]</v>
      </c>
      <c r="C64" t="s">
        <v>563</v>
      </c>
      <c r="D64" t="str">
        <f t="shared" si="4"/>
        <v>Number of active cases</v>
      </c>
      <c r="E64" s="48" t="s">
        <v>571</v>
      </c>
      <c r="F64">
        <f t="shared" si="5"/>
        <v>61</v>
      </c>
      <c r="G64" t="s">
        <v>569</v>
      </c>
      <c r="H64">
        <f t="shared" si="6"/>
        <v>-1</v>
      </c>
      <c r="I64" t="s">
        <v>570</v>
      </c>
      <c r="J64" s="13"/>
      <c r="AB64" s="12"/>
    </row>
    <row r="65" spans="1:31" x14ac:dyDescent="0.3">
      <c r="B65" t="str">
        <f>C65</f>
        <v>]);</v>
      </c>
      <c r="C65" t="s">
        <v>559</v>
      </c>
      <c r="AB65" s="12" t="s">
        <v>494</v>
      </c>
    </row>
    <row r="66" spans="1:31" x14ac:dyDescent="0.3">
      <c r="AB66" s="12" t="s">
        <v>505</v>
      </c>
    </row>
    <row r="67" spans="1:31" x14ac:dyDescent="0.3">
      <c r="B67" t="str">
        <f>C67</f>
        <v>var table = new google.visualization.Table(document.getElementById('data_table'));</v>
      </c>
      <c r="C67" t="s">
        <v>578</v>
      </c>
      <c r="AB67" s="12"/>
    </row>
    <row r="68" spans="1:31" x14ac:dyDescent="0.3">
      <c r="B68" t="str">
        <f>C68</f>
        <v>var formatter = new google.visualization.ArrowFormat();</v>
      </c>
      <c r="C68" s="56" t="s">
        <v>583</v>
      </c>
      <c r="AB68" s="12"/>
    </row>
    <row r="69" spans="1:31" x14ac:dyDescent="0.3">
      <c r="B69" t="str">
        <f>C69</f>
        <v>formatter.format(data, 2); // Apply formatter to second column</v>
      </c>
      <c r="C69" s="56" t="s">
        <v>584</v>
      </c>
      <c r="AB69" s="12" t="s">
        <v>506</v>
      </c>
    </row>
    <row r="70" spans="1:31" x14ac:dyDescent="0.3">
      <c r="AB70" s="12" t="s">
        <v>507</v>
      </c>
    </row>
    <row r="71" spans="1:31" x14ac:dyDescent="0.3">
      <c r="B71" t="str">
        <f>CONCATENATE(C71,D71,E71,F71,G71)</f>
        <v>table.draw(data, {showRowNumber: false, alternatingRowStyle:true, width: '100%', height: '50%'});</v>
      </c>
      <c r="C71" t="s">
        <v>582</v>
      </c>
      <c r="D71" s="55" t="s">
        <v>650</v>
      </c>
      <c r="E71" t="s">
        <v>573</v>
      </c>
      <c r="F71" s="55" t="s">
        <v>572</v>
      </c>
      <c r="G71" s="48" t="s">
        <v>568</v>
      </c>
      <c r="AB71" s="12" t="s">
        <v>508</v>
      </c>
    </row>
    <row r="72" spans="1:31" x14ac:dyDescent="0.3">
      <c r="B72" t="str">
        <f>C72</f>
        <v>}</v>
      </c>
      <c r="C72" t="s">
        <v>370</v>
      </c>
      <c r="AB72" s="12" t="s">
        <v>509</v>
      </c>
    </row>
    <row r="73" spans="1:31" x14ac:dyDescent="0.3">
      <c r="B73" t="str">
        <f>C73</f>
        <v>&lt;/script&gt;</v>
      </c>
      <c r="C73" t="s">
        <v>560</v>
      </c>
      <c r="AB73" s="12" t="s">
        <v>493</v>
      </c>
    </row>
    <row r="74" spans="1:31" s="13" customFormat="1" x14ac:dyDescent="0.3">
      <c r="A74" s="13" t="s">
        <v>589</v>
      </c>
      <c r="AB74" s="13" t="s">
        <v>510</v>
      </c>
      <c r="AE74" s="13" t="s">
        <v>593</v>
      </c>
    </row>
    <row r="75" spans="1:31" x14ac:dyDescent="0.3">
      <c r="AB75" s="12"/>
    </row>
    <row r="76" spans="1:31" x14ac:dyDescent="0.3">
      <c r="B76" t="str">
        <f t="shared" ref="B76:B138" si="7">C76</f>
        <v>&lt;title&gt;Transmission Type&lt;/title&gt;</v>
      </c>
      <c r="C76" t="s">
        <v>595</v>
      </c>
      <c r="AB76" s="12"/>
    </row>
    <row r="77" spans="1:31" x14ac:dyDescent="0.3">
      <c r="B77" t="str">
        <f t="shared" si="7"/>
        <v>&lt;meta name="description" content="chart created using amCharts live editor" /&gt;</v>
      </c>
      <c r="C77" t="s">
        <v>599</v>
      </c>
      <c r="AB77" s="12"/>
    </row>
    <row r="78" spans="1:31" x14ac:dyDescent="0.3">
      <c r="B78" t="str">
        <f t="shared" si="7"/>
        <v>&lt;!-- amCharts javascript code --&gt;</v>
      </c>
      <c r="C78" t="s">
        <v>600</v>
      </c>
      <c r="AB78" s="12"/>
    </row>
    <row r="79" spans="1:31" x14ac:dyDescent="0.3">
      <c r="B79" t="str">
        <f t="shared" si="7"/>
        <v>&lt;script type="text/javascript"&gt;</v>
      </c>
      <c r="C79" t="s">
        <v>553</v>
      </c>
      <c r="AB79" s="12"/>
    </row>
    <row r="80" spans="1:31" x14ac:dyDescent="0.3">
      <c r="B80" t="str">
        <f t="shared" si="7"/>
        <v>AmCharts.makeChart('chartdiv',</v>
      </c>
      <c r="C80" t="s">
        <v>610</v>
      </c>
      <c r="AB80" s="12"/>
    </row>
    <row r="81" spans="2:28" x14ac:dyDescent="0.3">
      <c r="B81" t="str">
        <f t="shared" si="7"/>
        <v>{</v>
      </c>
      <c r="C81" t="s">
        <v>542</v>
      </c>
      <c r="AB81" s="12"/>
    </row>
    <row r="82" spans="2:28" x14ac:dyDescent="0.3">
      <c r="B82" t="str">
        <f t="shared" si="7"/>
        <v>'type': 'serial',</v>
      </c>
      <c r="C82" t="s">
        <v>611</v>
      </c>
      <c r="AB82" s="12"/>
    </row>
    <row r="83" spans="2:28" x14ac:dyDescent="0.3">
      <c r="B83" t="str">
        <f t="shared" si="7"/>
        <v>'categoryField': 'Transmission Type',</v>
      </c>
      <c r="C83" t="s">
        <v>612</v>
      </c>
      <c r="AB83" s="12"/>
    </row>
    <row r="84" spans="2:28" x14ac:dyDescent="0.3">
      <c r="B84" t="str">
        <f t="shared" si="7"/>
        <v>'rotate': true,</v>
      </c>
      <c r="C84" t="s">
        <v>613</v>
      </c>
      <c r="AB84" s="12"/>
    </row>
    <row r="85" spans="2:28" x14ac:dyDescent="0.3">
      <c r="B85" t="str">
        <f t="shared" si="7"/>
        <v>'plotAreaFillAlphas': 0.68,</v>
      </c>
      <c r="C85" t="s">
        <v>614</v>
      </c>
      <c r="AB85" s="12"/>
    </row>
    <row r="86" spans="2:28" x14ac:dyDescent="0.3">
      <c r="B86" t="str">
        <f t="shared" si="7"/>
        <v>'startDuration': 1,</v>
      </c>
      <c r="C86" t="s">
        <v>615</v>
      </c>
      <c r="AB86" s="12"/>
    </row>
    <row r="87" spans="2:28" x14ac:dyDescent="0.3">
      <c r="B87" t="str">
        <f t="shared" si="7"/>
        <v>'startEffect': 'easeOutSine',</v>
      </c>
      <c r="C87" t="s">
        <v>616</v>
      </c>
      <c r="AB87" s="12"/>
    </row>
    <row r="88" spans="2:28" x14ac:dyDescent="0.3">
      <c r="AB88" s="12"/>
    </row>
    <row r="89" spans="2:28" x14ac:dyDescent="0.3">
      <c r="B89" t="str">
        <f t="shared" si="7"/>
        <v>'fontSize': 17,</v>
      </c>
      <c r="C89" t="s">
        <v>617</v>
      </c>
      <c r="AB89" s="12"/>
    </row>
    <row r="90" spans="2:28" x14ac:dyDescent="0.3">
      <c r="AB90" s="12"/>
    </row>
    <row r="91" spans="2:28" x14ac:dyDescent="0.3">
      <c r="B91" t="str">
        <f t="shared" si="7"/>
        <v>'processCount': 100,</v>
      </c>
      <c r="C91" t="s">
        <v>618</v>
      </c>
      <c r="AB91" s="12"/>
    </row>
    <row r="92" spans="2:28" x14ac:dyDescent="0.3">
      <c r="B92" t="str">
        <f t="shared" si="7"/>
        <v>'theme': 'light',</v>
      </c>
      <c r="C92" t="s">
        <v>619</v>
      </c>
      <c r="AB92" s="12"/>
    </row>
    <row r="93" spans="2:28" x14ac:dyDescent="0.3">
      <c r="B93" t="str">
        <f t="shared" si="7"/>
        <v>'categoryAxis': {</v>
      </c>
      <c r="C93" t="s">
        <v>620</v>
      </c>
      <c r="AB93" s="12"/>
    </row>
    <row r="94" spans="2:28" x14ac:dyDescent="0.3">
      <c r="B94" t="str">
        <f t="shared" si="7"/>
        <v>'gridPosition': 'start',</v>
      </c>
      <c r="C94" t="s">
        <v>631</v>
      </c>
      <c r="AB94" s="12"/>
    </row>
    <row r="95" spans="2:28" x14ac:dyDescent="0.3">
      <c r="C95" t="s">
        <v>647</v>
      </c>
      <c r="G95" t="s">
        <v>632</v>
      </c>
      <c r="AB95" s="12"/>
    </row>
    <row r="96" spans="2:28" x14ac:dyDescent="0.3">
      <c r="B96" t="str">
        <f t="shared" si="7"/>
        <v>'fillAlpha': 0.36,</v>
      </c>
      <c r="C96" t="s">
        <v>621</v>
      </c>
      <c r="AB96" s="12"/>
    </row>
    <row r="97" spans="2:28" x14ac:dyDescent="0.3">
      <c r="B97" t="str">
        <f t="shared" si="7"/>
        <v>'gridAlpha': 0.23,</v>
      </c>
      <c r="C97" t="s">
        <v>622</v>
      </c>
      <c r="AB97" s="12"/>
    </row>
    <row r="98" spans="2:28" x14ac:dyDescent="0.3">
      <c r="B98" t="str">
        <f t="shared" si="7"/>
        <v>'title': 'transmission type'</v>
      </c>
      <c r="C98" t="s">
        <v>623</v>
      </c>
      <c r="AB98" s="12"/>
    </row>
    <row r="99" spans="2:28" x14ac:dyDescent="0.3">
      <c r="B99" t="str">
        <f t="shared" si="7"/>
        <v>},</v>
      </c>
      <c r="C99" t="s">
        <v>601</v>
      </c>
      <c r="AB99" s="12"/>
    </row>
    <row r="100" spans="2:28" x14ac:dyDescent="0.3">
      <c r="B100" t="str">
        <f t="shared" si="7"/>
        <v>'trendLines': [],</v>
      </c>
      <c r="C100" t="s">
        <v>624</v>
      </c>
      <c r="AB100" s="12"/>
    </row>
    <row r="101" spans="2:28" x14ac:dyDescent="0.3">
      <c r="B101" t="str">
        <f t="shared" si="7"/>
        <v>'graphs': [</v>
      </c>
      <c r="C101" t="s">
        <v>625</v>
      </c>
      <c r="AB101" s="12"/>
    </row>
    <row r="102" spans="2:28" x14ac:dyDescent="0.3">
      <c r="B102" t="str">
        <f t="shared" si="7"/>
        <v>{</v>
      </c>
      <c r="C102" t="s">
        <v>542</v>
      </c>
      <c r="AB102" s="12"/>
    </row>
    <row r="103" spans="2:28" x14ac:dyDescent="0.3">
      <c r="B103" t="str">
        <f t="shared" si="7"/>
        <v>'fillAlphas': 1,</v>
      </c>
      <c r="C103" t="s">
        <v>633</v>
      </c>
      <c r="AB103" s="12"/>
    </row>
    <row r="104" spans="2:28" x14ac:dyDescent="0.3">
      <c r="B104" t="str">
        <f t="shared" si="7"/>
        <v>'id': 'AmGraph-1',</v>
      </c>
      <c r="C104" t="s">
        <v>634</v>
      </c>
      <c r="AB104" s="12"/>
    </row>
    <row r="105" spans="2:28" x14ac:dyDescent="0.3">
      <c r="B105" t="str">
        <f t="shared" si="7"/>
        <v>'title': 'graph 1',</v>
      </c>
      <c r="C105" t="s">
        <v>635</v>
      </c>
      <c r="AB105" s="12"/>
    </row>
    <row r="106" spans="2:28" x14ac:dyDescent="0.3">
      <c r="B106" t="str">
        <f t="shared" si="7"/>
        <v>'type': 'column',</v>
      </c>
      <c r="C106" t="s">
        <v>636</v>
      </c>
      <c r="AB106" s="12"/>
    </row>
    <row r="107" spans="2:28" x14ac:dyDescent="0.3">
      <c r="B107" t="str">
        <f t="shared" si="7"/>
        <v>'valueField': '# of Cases'</v>
      </c>
      <c r="C107" t="s">
        <v>637</v>
      </c>
      <c r="AB107" s="12"/>
    </row>
    <row r="108" spans="2:28" x14ac:dyDescent="0.3">
      <c r="B108" t="str">
        <f t="shared" si="7"/>
        <v>}</v>
      </c>
      <c r="C108" t="s">
        <v>370</v>
      </c>
      <c r="AB108" s="12"/>
    </row>
    <row r="109" spans="2:28" x14ac:dyDescent="0.3">
      <c r="B109" t="str">
        <f t="shared" si="7"/>
        <v>],</v>
      </c>
      <c r="C109" t="s">
        <v>564</v>
      </c>
      <c r="AB109" s="12"/>
    </row>
    <row r="110" spans="2:28" x14ac:dyDescent="0.3">
      <c r="AB110" s="12"/>
    </row>
    <row r="111" spans="2:28" x14ac:dyDescent="0.3">
      <c r="B111" t="str">
        <f t="shared" si="7"/>
        <v>'valueAxes': [</v>
      </c>
      <c r="C111" t="s">
        <v>626</v>
      </c>
      <c r="AB111" s="12"/>
    </row>
    <row r="112" spans="2:28" x14ac:dyDescent="0.3">
      <c r="B112" t="str">
        <f t="shared" si="7"/>
        <v>{</v>
      </c>
      <c r="C112" t="s">
        <v>542</v>
      </c>
      <c r="AB112" s="12"/>
    </row>
    <row r="113" spans="2:28" x14ac:dyDescent="0.3">
      <c r="B113" t="str">
        <f t="shared" si="7"/>
        <v>'id': 'ValueAxis-1',</v>
      </c>
      <c r="C113" t="s">
        <v>638</v>
      </c>
      <c r="AB113" s="12"/>
    </row>
    <row r="114" spans="2:28" x14ac:dyDescent="0.3">
      <c r="B114" t="str">
        <f t="shared" si="7"/>
        <v>'labelFrequency': 5,</v>
      </c>
      <c r="C114" t="s">
        <v>639</v>
      </c>
      <c r="AB114" s="12"/>
    </row>
    <row r="115" spans="2:28" x14ac:dyDescent="0.3">
      <c r="B115" t="str">
        <f t="shared" si="7"/>
        <v>'title': '% of Cases'</v>
      </c>
      <c r="C115" t="s">
        <v>640</v>
      </c>
      <c r="AB115" s="12"/>
    </row>
    <row r="116" spans="2:28" x14ac:dyDescent="0.3">
      <c r="B116" t="str">
        <f t="shared" si="7"/>
        <v>}</v>
      </c>
      <c r="C116" t="s">
        <v>370</v>
      </c>
      <c r="AB116" s="12"/>
    </row>
    <row r="117" spans="2:28" x14ac:dyDescent="0.3">
      <c r="B117" t="str">
        <f t="shared" si="7"/>
        <v>],</v>
      </c>
      <c r="C117" t="s">
        <v>564</v>
      </c>
      <c r="AB117" s="12"/>
    </row>
    <row r="118" spans="2:28" x14ac:dyDescent="0.3">
      <c r="B118" t="str">
        <f t="shared" si="7"/>
        <v>'allLabels': [],</v>
      </c>
      <c r="C118" t="s">
        <v>627</v>
      </c>
      <c r="AB118" s="12"/>
    </row>
    <row r="119" spans="2:28" x14ac:dyDescent="0.3">
      <c r="B119" t="str">
        <f t="shared" si="7"/>
        <v>'balloon': {},</v>
      </c>
      <c r="C119" t="s">
        <v>628</v>
      </c>
      <c r="AB119" s="12"/>
    </row>
    <row r="120" spans="2:28" x14ac:dyDescent="0.3">
      <c r="B120" t="str">
        <f t="shared" si="7"/>
        <v>'titles': [</v>
      </c>
      <c r="C120" t="s">
        <v>629</v>
      </c>
      <c r="AB120" s="12"/>
    </row>
    <row r="121" spans="2:28" x14ac:dyDescent="0.3">
      <c r="B121" t="str">
        <f t="shared" si="7"/>
        <v>{</v>
      </c>
      <c r="C121" t="s">
        <v>542</v>
      </c>
      <c r="AB121" s="12"/>
    </row>
    <row r="122" spans="2:28" x14ac:dyDescent="0.3">
      <c r="B122" t="str">
        <f t="shared" si="7"/>
        <v>'alpha': 0.99,</v>
      </c>
      <c r="C122" t="s">
        <v>641</v>
      </c>
      <c r="AB122" s="12"/>
    </row>
    <row r="123" spans="2:28" x14ac:dyDescent="0.3">
      <c r="B123" t="str">
        <f t="shared" si="7"/>
        <v>'color': '#282828',</v>
      </c>
      <c r="C123" t="s">
        <v>642</v>
      </c>
      <c r="AB123" s="12"/>
    </row>
    <row r="124" spans="2:28" x14ac:dyDescent="0.3">
      <c r="B124" t="str">
        <f t="shared" si="7"/>
        <v>'id': 'Transmission types',</v>
      </c>
      <c r="C124" t="s">
        <v>643</v>
      </c>
      <c r="AB124" s="12"/>
    </row>
    <row r="125" spans="2:28" x14ac:dyDescent="0.3">
      <c r="B125" t="str">
        <f t="shared" si="7"/>
        <v>'size': 20,</v>
      </c>
      <c r="C125" t="s">
        <v>644</v>
      </c>
      <c r="AB125" s="12"/>
    </row>
    <row r="126" spans="2:28" x14ac:dyDescent="0.3">
      <c r="B126" t="str">
        <f t="shared" si="7"/>
        <v>'text': 'Transmission types'</v>
      </c>
      <c r="C126" t="s">
        <v>645</v>
      </c>
      <c r="AB126" s="12"/>
    </row>
    <row r="127" spans="2:28" x14ac:dyDescent="0.3">
      <c r="B127" t="str">
        <f t="shared" si="7"/>
        <v>}</v>
      </c>
      <c r="C127" t="s">
        <v>370</v>
      </c>
      <c r="AB127" s="12"/>
    </row>
    <row r="128" spans="2:28" x14ac:dyDescent="0.3">
      <c r="B128" t="str">
        <f t="shared" si="7"/>
        <v>],</v>
      </c>
      <c r="C128" t="s">
        <v>564</v>
      </c>
      <c r="AB128" s="12"/>
    </row>
    <row r="129" spans="2:28" x14ac:dyDescent="0.3">
      <c r="B129" t="str">
        <f t="shared" si="7"/>
        <v>'dataProvider': [</v>
      </c>
      <c r="C129" t="s">
        <v>630</v>
      </c>
      <c r="AB129" s="12"/>
    </row>
    <row r="130" spans="2:28" ht="15.75" thickBot="1" x14ac:dyDescent="0.35">
      <c r="B130" t="str">
        <f t="shared" si="7"/>
        <v>{</v>
      </c>
      <c r="C130" t="s">
        <v>542</v>
      </c>
      <c r="AB130" s="12"/>
    </row>
    <row r="131" spans="2:28" ht="16.399999999999999" thickTop="1" thickBot="1" x14ac:dyDescent="0.35">
      <c r="B131" t="str">
        <f>CONCATENATE(C131,D131,E131)</f>
        <v>'# of Cases': '0.39',</v>
      </c>
      <c r="C131" s="48" t="s">
        <v>672</v>
      </c>
      <c r="D131" s="82">
        <f>'ImportMoH combined'!$B$64</f>
        <v>0.39</v>
      </c>
      <c r="E131" t="s">
        <v>670</v>
      </c>
      <c r="AB131" s="12"/>
    </row>
    <row r="132" spans="2:28" ht="16.399999999999999" thickTop="1" thickBot="1" x14ac:dyDescent="0.35">
      <c r="B132" t="str">
        <f>CONCATENATE(C132,D132,E132)</f>
        <v>'Transmission Type': 'Imported cases'</v>
      </c>
      <c r="C132" s="48" t="s">
        <v>673</v>
      </c>
      <c r="D132" s="84" t="str">
        <f>'ImportMoH combined'!$A$64</f>
        <v>Imported cases</v>
      </c>
      <c r="E132" t="s">
        <v>671</v>
      </c>
      <c r="AB132" s="12"/>
    </row>
    <row r="133" spans="2:28" ht="16.399999999999999" thickTop="1" thickBot="1" x14ac:dyDescent="0.35">
      <c r="B133" t="str">
        <f t="shared" si="7"/>
        <v>},</v>
      </c>
      <c r="C133" t="s">
        <v>601</v>
      </c>
      <c r="D133" s="78"/>
      <c r="AB133" s="12"/>
    </row>
    <row r="134" spans="2:28" ht="16.399999999999999" thickTop="1" thickBot="1" x14ac:dyDescent="0.35">
      <c r="B134" t="str">
        <f t="shared" si="7"/>
        <v>{</v>
      </c>
      <c r="C134" t="s">
        <v>542</v>
      </c>
      <c r="D134" s="78"/>
      <c r="AB134" s="12"/>
    </row>
    <row r="135" spans="2:28" ht="16.399999999999999" thickTop="1" thickBot="1" x14ac:dyDescent="0.35">
      <c r="B135" t="str">
        <f>CONCATENATE(C135,D135,E135)</f>
        <v>'# of Cases': '0.25',</v>
      </c>
      <c r="C135" s="48" t="s">
        <v>672</v>
      </c>
      <c r="D135" s="82">
        <f>'ImportMoH combined'!$B$65</f>
        <v>0.25</v>
      </c>
      <c r="E135" t="s">
        <v>670</v>
      </c>
      <c r="F135">
        <f>45/1100</f>
        <v>4.0909090909090909E-2</v>
      </c>
      <c r="AB135" s="12"/>
    </row>
    <row r="136" spans="2:28" ht="16.399999999999999" thickTop="1" thickBot="1" x14ac:dyDescent="0.35">
      <c r="B136" t="str">
        <f>CONCATENATE(C136,D136,E136)</f>
        <v>'Transmission Type': 'Imported related cases'</v>
      </c>
      <c r="C136" s="48" t="s">
        <v>673</v>
      </c>
      <c r="D136" s="84" t="str">
        <f>'ImportMoH combined'!$A$65</f>
        <v>Imported related cases</v>
      </c>
      <c r="E136" t="s">
        <v>671</v>
      </c>
      <c r="AB136" s="12"/>
    </row>
    <row r="137" spans="2:28" ht="16.399999999999999" thickTop="1" thickBot="1" x14ac:dyDescent="0.35">
      <c r="B137" t="str">
        <f t="shared" si="7"/>
        <v>},</v>
      </c>
      <c r="C137" t="s">
        <v>601</v>
      </c>
      <c r="D137" s="78"/>
      <c r="AB137" s="12"/>
    </row>
    <row r="138" spans="2:28" ht="16.399999999999999" thickTop="1" thickBot="1" x14ac:dyDescent="0.35">
      <c r="B138" t="str">
        <f t="shared" si="7"/>
        <v>{</v>
      </c>
      <c r="C138" t="s">
        <v>542</v>
      </c>
      <c r="D138" s="78"/>
      <c r="AB138" s="12"/>
    </row>
    <row r="139" spans="2:28" ht="16.399999999999999" thickTop="1" thickBot="1" x14ac:dyDescent="0.35">
      <c r="B139" t="str">
        <f>CONCATENATE(C139,D139,E139)</f>
        <v>'# of Cases': '0.31',</v>
      </c>
      <c r="C139" s="48" t="s">
        <v>672</v>
      </c>
      <c r="D139" s="82">
        <f>'ImportMoH combined'!$B$66</f>
        <v>0.31</v>
      </c>
      <c r="E139" t="s">
        <v>670</v>
      </c>
      <c r="AB139" s="12"/>
    </row>
    <row r="140" spans="2:28" ht="16.399999999999999" thickTop="1" thickBot="1" x14ac:dyDescent="0.35">
      <c r="B140" t="str">
        <f>CONCATENATE(C140,D140,E140)</f>
        <v>'Transmission Type': 'Locally acquired cases, epidemiologically linked'</v>
      </c>
      <c r="C140" s="48" t="s">
        <v>673</v>
      </c>
      <c r="D140" s="84" t="str">
        <f>'ImportMoH combined'!$A$66</f>
        <v>Locally acquired cases, epidemiologically linked</v>
      </c>
      <c r="E140" t="s">
        <v>671</v>
      </c>
      <c r="AB140" s="12"/>
    </row>
    <row r="141" spans="2:28" ht="16.399999999999999" thickTop="1" thickBot="1" x14ac:dyDescent="0.35">
      <c r="B141" t="str">
        <f>C141</f>
        <v>},</v>
      </c>
      <c r="C141" t="s">
        <v>601</v>
      </c>
      <c r="D141" s="78"/>
      <c r="AB141" s="12"/>
    </row>
    <row r="142" spans="2:28" ht="16.399999999999999" thickTop="1" thickBot="1" x14ac:dyDescent="0.35">
      <c r="B142" t="str">
        <f>C142</f>
        <v>{</v>
      </c>
      <c r="C142" t="s">
        <v>542</v>
      </c>
      <c r="D142" s="78"/>
      <c r="AB142" s="12"/>
    </row>
    <row r="143" spans="2:28" ht="16.399999999999999" thickTop="1" thickBot="1" x14ac:dyDescent="0.35">
      <c r="B143" t="str">
        <f>CONCATENATE(C143,D143,E143)</f>
        <v>'# of Cases': '0.05',</v>
      </c>
      <c r="C143" s="48" t="s">
        <v>672</v>
      </c>
      <c r="D143" s="82">
        <f>'ImportMoH combined'!$B$67</f>
        <v>0.05</v>
      </c>
      <c r="E143" t="s">
        <v>670</v>
      </c>
      <c r="AB143" s="12"/>
    </row>
    <row r="144" spans="2:28" ht="16.399999999999999" thickTop="1" thickBot="1" x14ac:dyDescent="0.35">
      <c r="B144" t="str">
        <f>CONCATENATE(C144,D144,E144)</f>
        <v>'Transmission Type': 'Locally acquired cases, unknown source'</v>
      </c>
      <c r="C144" s="48" t="s">
        <v>673</v>
      </c>
      <c r="D144" s="84" t="str">
        <f>'ImportMoH combined'!$A$67</f>
        <v>Locally acquired cases, unknown source</v>
      </c>
      <c r="E144" t="s">
        <v>671</v>
      </c>
      <c r="AB144" s="12"/>
    </row>
    <row r="145" spans="2:28" ht="16.399999999999999" thickTop="1" thickBot="1" x14ac:dyDescent="0.35">
      <c r="B145" t="str">
        <f>C145</f>
        <v>},</v>
      </c>
      <c r="C145" t="s">
        <v>601</v>
      </c>
      <c r="D145" s="84"/>
      <c r="AB145" s="12"/>
    </row>
    <row r="146" spans="2:28" ht="16.399999999999999" thickTop="1" thickBot="1" x14ac:dyDescent="0.35">
      <c r="B146" t="str">
        <f>C146</f>
        <v>{</v>
      </c>
      <c r="C146" t="s">
        <v>542</v>
      </c>
      <c r="D146" s="78"/>
      <c r="AB146" s="12"/>
    </row>
    <row r="147" spans="2:28" ht="16.399999999999999" thickTop="1" thickBot="1" x14ac:dyDescent="0.35">
      <c r="B147" t="str">
        <f>CONCATENATE(C147,D147,E147)</f>
        <v>'# of Cases': '0',</v>
      </c>
      <c r="C147" s="48" t="s">
        <v>672</v>
      </c>
      <c r="D147" s="82">
        <f>'ImportMoH combined'!$B$68</f>
        <v>0</v>
      </c>
      <c r="E147" t="s">
        <v>670</v>
      </c>
      <c r="AB147" s="12"/>
    </row>
    <row r="148" spans="2:28" ht="16.399999999999999" thickTop="1" thickBot="1" x14ac:dyDescent="0.35">
      <c r="B148" t="str">
        <f>CONCATENATE(C148,D148,E148)</f>
        <v>'Transmission Type': 'Source under investigation'</v>
      </c>
      <c r="C148" s="48" t="s">
        <v>673</v>
      </c>
      <c r="D148" s="84" t="str">
        <f>'ImportMoH combined'!$A$68</f>
        <v>Source under investigation</v>
      </c>
      <c r="E148" t="s">
        <v>671</v>
      </c>
      <c r="AB148" s="12"/>
    </row>
    <row r="149" spans="2:28" ht="16.399999999999999" thickTop="1" thickBot="1" x14ac:dyDescent="0.35">
      <c r="B149" t="str">
        <f>C149</f>
        <v>}</v>
      </c>
      <c r="C149" t="s">
        <v>370</v>
      </c>
      <c r="D149" s="78"/>
      <c r="AB149" s="12"/>
    </row>
    <row r="150" spans="2:28" ht="15.75" thickTop="1" x14ac:dyDescent="0.3">
      <c r="B150" t="str">
        <f>C150</f>
        <v>]</v>
      </c>
      <c r="C150" t="s">
        <v>565</v>
      </c>
      <c r="AB150" s="12"/>
    </row>
    <row r="151" spans="2:28" x14ac:dyDescent="0.3">
      <c r="B151" t="str">
        <f>C151</f>
        <v>}</v>
      </c>
      <c r="C151" t="s">
        <v>370</v>
      </c>
      <c r="AB151" s="12"/>
    </row>
    <row r="152" spans="2:28" x14ac:dyDescent="0.3">
      <c r="B152" t="str">
        <f>C152</f>
        <v>);</v>
      </c>
      <c r="C152" t="s">
        <v>602</v>
      </c>
      <c r="AB152" s="12" t="s">
        <v>511</v>
      </c>
    </row>
    <row r="153" spans="2:28" x14ac:dyDescent="0.3">
      <c r="B153" t="str">
        <f>C153</f>
        <v>&lt;/script&gt;</v>
      </c>
      <c r="C153" s="53" t="s">
        <v>560</v>
      </c>
      <c r="AB153" s="12" t="s">
        <v>370</v>
      </c>
    </row>
    <row r="154" spans="2:28" x14ac:dyDescent="0.3">
      <c r="D154" t="s">
        <v>585</v>
      </c>
      <c r="E154" s="57">
        <v>43915</v>
      </c>
      <c r="G154">
        <f>E155-E154</f>
        <v>28</v>
      </c>
    </row>
    <row r="155" spans="2:28" x14ac:dyDescent="0.3">
      <c r="B155" t="str">
        <f>C155</f>
        <v>&lt;/head&gt;</v>
      </c>
      <c r="C155" t="s">
        <v>361</v>
      </c>
      <c r="D155" t="s">
        <v>586</v>
      </c>
      <c r="E155" s="57">
        <v>43943</v>
      </c>
    </row>
    <row r="156" spans="2:28" x14ac:dyDescent="0.3">
      <c r="B156" t="str">
        <f>C156</f>
        <v>&lt;body&gt;</v>
      </c>
      <c r="C156" t="s">
        <v>362</v>
      </c>
      <c r="E156" s="1">
        <f ca="1">TODAY()</f>
        <v>44096</v>
      </c>
      <c r="X156" s="3" t="s">
        <v>5</v>
      </c>
      <c r="Y156">
        <v>0.22042151240087501</v>
      </c>
    </row>
    <row r="157" spans="2:28" x14ac:dyDescent="0.3">
      <c r="B157" s="53" t="str">
        <f>C157</f>
        <v>&lt;div id="container"&gt;</v>
      </c>
      <c r="C157" t="s">
        <v>465</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f>'ImportMoH combined'!G17</f>
        <v>0</v>
      </c>
      <c r="V157" s="6">
        <f>'ImportMoH combined'!H17</f>
        <v>0</v>
      </c>
      <c r="W157" s="6">
        <f>'ImportMoH combined'!I17</f>
        <v>0</v>
      </c>
      <c r="X157" s="3"/>
    </row>
    <row r="158" spans="2:28" x14ac:dyDescent="0.3">
      <c r="B158" s="53" t="str">
        <f>C158</f>
        <v>&lt;div id="header"&gt;</v>
      </c>
      <c r="C158" t="s">
        <v>462</v>
      </c>
      <c r="P158" s="6" t="str">
        <f>'ImportMoH combined'!A18</f>
        <v>Auckland</v>
      </c>
      <c r="Q158" s="6">
        <f>'ImportMoH combined'!B18</f>
        <v>9</v>
      </c>
      <c r="R158" s="6">
        <f>'ImportMoH combined'!C18</f>
        <v>213</v>
      </c>
      <c r="S158" s="6">
        <f>'ImportMoH combined'!D18</f>
        <v>1</v>
      </c>
      <c r="T158" s="6">
        <f>'ImportMoH combined'!E18</f>
        <v>223</v>
      </c>
      <c r="U158" s="6">
        <f>'ImportMoH combined'!G18</f>
        <v>0</v>
      </c>
      <c r="V158" s="6">
        <f>'ImportMoH combined'!H18</f>
        <v>0</v>
      </c>
      <c r="W158" s="6">
        <f>'ImportMoH combined'!I18</f>
        <v>0</v>
      </c>
      <c r="X158" s="3" t="s">
        <v>12</v>
      </c>
      <c r="Y158">
        <v>0.24631945413022899</v>
      </c>
    </row>
    <row r="159" spans="2:28" x14ac:dyDescent="0.3">
      <c r="B159" t="str">
        <f ca="1">CONCATENATE(D159,TEXT(C159,"dd-mm-yy"),E159)</f>
        <v>&lt;h1 id="bold-red"&gt; Covid -19 in NZ update for 22-09-20&lt;/h1&gt;</v>
      </c>
      <c r="C159" s="51">
        <f ca="1">TODAY()</f>
        <v>44096</v>
      </c>
      <c r="D159" t="s">
        <v>957</v>
      </c>
      <c r="E159" t="s">
        <v>540</v>
      </c>
      <c r="P159" s="6" t="str">
        <f>'ImportMoH combined'!A19</f>
        <v>Bay of Plenty</v>
      </c>
      <c r="Q159" s="6">
        <f>'ImportMoH combined'!B19</f>
        <v>0</v>
      </c>
      <c r="R159" s="6">
        <f>'ImportMoH combined'!C19</f>
        <v>48</v>
      </c>
      <c r="S159" s="6">
        <f>'ImportMoH combined'!D19</f>
        <v>0</v>
      </c>
      <c r="T159" s="6">
        <f>'ImportMoH combined'!E19</f>
        <v>48</v>
      </c>
      <c r="U159" s="6">
        <f>'ImportMoH combined'!G19</f>
        <v>0</v>
      </c>
      <c r="V159" s="6">
        <f>'ImportMoH combined'!H19</f>
        <v>0</v>
      </c>
      <c r="W159" s="6">
        <f>'ImportMoH combined'!I19</f>
        <v>0</v>
      </c>
      <c r="X159" s="3" t="s">
        <v>16</v>
      </c>
      <c r="Y159">
        <v>0.24631945413022899</v>
      </c>
    </row>
    <row r="160" spans="2:28" x14ac:dyDescent="0.3">
      <c r="B160" t="str">
        <f>CONCATENATE(C160,D160,E160,F160,G160,H160,I160,J160,K160)</f>
        <v>&lt;h2 id="bold-red"&gt; Infected:     1815 , Active:    61 , Deaths:    25 , Recovered:    1729&lt;/h2&gt;</v>
      </c>
      <c r="C160" s="51" t="s">
        <v>958</v>
      </c>
      <c r="D160">
        <f>E42</f>
        <v>1815</v>
      </c>
      <c r="E160" t="s">
        <v>605</v>
      </c>
      <c r="F160">
        <f>D160-H160-J160</f>
        <v>61</v>
      </c>
      <c r="G160" t="s">
        <v>606</v>
      </c>
      <c r="H160">
        <f>E44</f>
        <v>25</v>
      </c>
      <c r="I160" t="s">
        <v>607</v>
      </c>
      <c r="J160">
        <f>E43</f>
        <v>1729</v>
      </c>
      <c r="K160" t="s">
        <v>604</v>
      </c>
      <c r="P160" s="6" t="str">
        <f>'ImportMoH combined'!A20</f>
        <v>Canterbury</v>
      </c>
      <c r="Q160" s="6">
        <f>'ImportMoH combined'!B20</f>
        <v>0</v>
      </c>
      <c r="R160" s="6">
        <f>'ImportMoH combined'!C20</f>
        <v>152</v>
      </c>
      <c r="S160" s="6">
        <f>'ImportMoH combined'!D20</f>
        <v>12</v>
      </c>
      <c r="T160" s="6">
        <f>'ImportMoH combined'!E20</f>
        <v>164</v>
      </c>
      <c r="U160" s="6">
        <f>'ImportMoH combined'!G20</f>
        <v>0</v>
      </c>
      <c r="V160" s="6">
        <f>'ImportMoH combined'!H20</f>
        <v>0</v>
      </c>
      <c r="W160" s="6">
        <f>'ImportMoH combined'!I20</f>
        <v>0</v>
      </c>
      <c r="X160" s="3"/>
    </row>
    <row r="161" spans="2:25" x14ac:dyDescent="0.3">
      <c r="B161" t="str">
        <f>C161</f>
        <v>&lt;p&gt;&lt;strong&gt; Timeline&lt;/strong&gt;&lt;/br&gt;</v>
      </c>
      <c r="C161" t="s">
        <v>603</v>
      </c>
      <c r="P161" s="6" t="str">
        <f>'ImportMoH combined'!A21</f>
        <v>Capital and Coast</v>
      </c>
      <c r="Q161" s="6">
        <f>'ImportMoH combined'!B21</f>
        <v>0</v>
      </c>
      <c r="R161" s="6">
        <f>'ImportMoH combined'!C21</f>
        <v>93</v>
      </c>
      <c r="S161" s="6">
        <f>'ImportMoH combined'!D21</f>
        <v>2</v>
      </c>
      <c r="T161" s="6">
        <f>'ImportMoH combined'!E21</f>
        <v>95</v>
      </c>
      <c r="U161" s="6">
        <f>'ImportMoH combined'!G21</f>
        <v>0</v>
      </c>
      <c r="V161" s="6">
        <f>'ImportMoH combined'!H21</f>
        <v>0</v>
      </c>
      <c r="W161" s="6">
        <f>'ImportMoH combined'!I21</f>
        <v>0</v>
      </c>
      <c r="X161" s="3" t="s">
        <v>13</v>
      </c>
      <c r="Y161">
        <v>0.18355988042570201</v>
      </c>
    </row>
    <row r="162" spans="2:25" x14ac:dyDescent="0.3">
      <c r="B162" t="str">
        <f>C162</f>
        <v>28th Feb 2020 First confirmed Covid case in NZ</v>
      </c>
      <c r="C162" t="s">
        <v>949</v>
      </c>
      <c r="D162" s="1">
        <v>43889</v>
      </c>
      <c r="P162" s="6" t="str">
        <f>'ImportMoH combined'!A22</f>
        <v>Counties Manukau</v>
      </c>
      <c r="Q162" s="6">
        <f>'ImportMoH combined'!B22</f>
        <v>11</v>
      </c>
      <c r="R162" s="6">
        <f>'ImportMoH combined'!C22</f>
        <v>201</v>
      </c>
      <c r="S162" s="6">
        <f>'ImportMoH combined'!D22</f>
        <v>1</v>
      </c>
      <c r="T162" s="6">
        <f>'ImportMoH combined'!E22</f>
        <v>213</v>
      </c>
      <c r="U162" s="6">
        <f>'ImportMoH combined'!G22</f>
        <v>0</v>
      </c>
      <c r="V162" s="6">
        <f>'ImportMoH combined'!H22</f>
        <v>0</v>
      </c>
      <c r="W162" s="6">
        <f>'ImportMoH combined'!I22</f>
        <v>0</v>
      </c>
      <c r="X162" s="3" t="s">
        <v>7</v>
      </c>
      <c r="Y162">
        <v>0.40692932275091798</v>
      </c>
    </row>
    <row r="163" spans="2:25" x14ac:dyDescent="0.3">
      <c r="B163" t="str">
        <f ca="1">CONCATENATE(C163,D163,E163,F163)</f>
        <v>Current as per map after &lt;strong&gt;207&lt;/strong&gt; days&lt;br&gt;</v>
      </c>
      <c r="C163" t="s">
        <v>950</v>
      </c>
      <c r="D163" s="50">
        <f ca="1">TODAY()-D162</f>
        <v>207</v>
      </c>
      <c r="E163" t="s">
        <v>951</v>
      </c>
      <c r="F163" t="s">
        <v>488</v>
      </c>
      <c r="P163" s="6" t="str">
        <f>'ImportMoH combined'!A23</f>
        <v>Hawke's Bay</v>
      </c>
      <c r="Q163" s="6">
        <f>'ImportMoH combined'!B23</f>
        <v>0</v>
      </c>
      <c r="R163" s="6">
        <f>'ImportMoH combined'!C23</f>
        <v>44</v>
      </c>
      <c r="S163" s="6">
        <f>'ImportMoH combined'!D23</f>
        <v>0</v>
      </c>
      <c r="T163" s="6">
        <f>'ImportMoH combined'!E23</f>
        <v>44</v>
      </c>
      <c r="U163" s="6">
        <f>'ImportMoH combined'!G23</f>
        <v>0</v>
      </c>
      <c r="V163" s="6">
        <f>'ImportMoH combined'!H23</f>
        <v>0</v>
      </c>
      <c r="W163" s="6">
        <f>'ImportMoH combined'!I23</f>
        <v>0</v>
      </c>
      <c r="X163" s="3" t="s">
        <v>17</v>
      </c>
      <c r="Y163">
        <v>0.143308897736944</v>
      </c>
    </row>
    <row r="164" spans="2:25" x14ac:dyDescent="0.3">
      <c r="B164" t="str">
        <f ca="1">CONCATENATE(C164,D164,E164,F164,G164)</f>
        <v>Current day of lockdown = &lt;strong&gt;181&lt;/strong&gt;, -153 days to go of 4 week lockdown</v>
      </c>
      <c r="C164" t="s">
        <v>952</v>
      </c>
      <c r="D164" s="50">
        <f ca="1">TODAY() -E154</f>
        <v>181</v>
      </c>
      <c r="E164" t="s">
        <v>953</v>
      </c>
      <c r="F164" s="9">
        <f ca="1">VALUE(E155-TODAY())</f>
        <v>-153</v>
      </c>
      <c r="G164" t="s">
        <v>587</v>
      </c>
      <c r="P164" s="6" t="str">
        <f>'ImportMoH combined'!A24</f>
        <v>Hutt Valley</v>
      </c>
      <c r="Q164" s="6">
        <f>'ImportMoH combined'!B24</f>
        <v>0</v>
      </c>
      <c r="R164" s="6">
        <f>'ImportMoH combined'!C24</f>
        <v>22</v>
      </c>
      <c r="S164" s="6">
        <f>'ImportMoH combined'!D24</f>
        <v>0</v>
      </c>
      <c r="T164" s="6">
        <f>'ImportMoH combined'!E24</f>
        <v>22</v>
      </c>
      <c r="U164" s="6">
        <f>'ImportMoH combined'!G24</f>
        <v>0</v>
      </c>
      <c r="V164" s="6">
        <f>'ImportMoH combined'!H24</f>
        <v>0</v>
      </c>
      <c r="W164" s="6">
        <f>'ImportMoH combined'!I24</f>
        <v>0</v>
      </c>
      <c r="X164" s="3"/>
    </row>
    <row r="165" spans="2:25" x14ac:dyDescent="0.3">
      <c r="B165" t="str">
        <f t="shared" ref="B165:B180" si="8">C165</f>
        <v>&lt;/p&gt;</v>
      </c>
      <c r="C165" t="s">
        <v>463</v>
      </c>
      <c r="P165" s="6" t="str">
        <f>'ImportMoH combined'!A25</f>
        <v>Lakes</v>
      </c>
      <c r="Q165" s="6">
        <f>'ImportMoH combined'!B25</f>
        <v>0</v>
      </c>
      <c r="R165" s="6">
        <f>'ImportMoH combined'!C25</f>
        <v>16</v>
      </c>
      <c r="S165" s="6">
        <f>'ImportMoH combined'!D25</f>
        <v>0</v>
      </c>
      <c r="T165" s="6">
        <f>'ImportMoH combined'!E25</f>
        <v>16</v>
      </c>
      <c r="U165" s="6">
        <f>'ImportMoH combined'!G25</f>
        <v>0</v>
      </c>
      <c r="V165" s="6">
        <f>'ImportMoH combined'!H25</f>
        <v>0</v>
      </c>
      <c r="W165" s="6">
        <f>'ImportMoH combined'!I25</f>
        <v>0</v>
      </c>
      <c r="X165" s="3" t="s">
        <v>8</v>
      </c>
      <c r="Y165">
        <v>0.361888657038131</v>
      </c>
    </row>
    <row r="166" spans="2:25" x14ac:dyDescent="0.3">
      <c r="B166" t="str">
        <f t="shared" si="8"/>
        <v>&lt;h2&gt;Charts &lt;/h2&gt;</v>
      </c>
      <c r="C166" t="s">
        <v>674</v>
      </c>
      <c r="P166" s="6" t="str">
        <f>'ImportMoH combined'!A26</f>
        <v>Mid Central</v>
      </c>
      <c r="Q166" s="6">
        <f>'ImportMoH combined'!B26</f>
        <v>0</v>
      </c>
      <c r="R166" s="6">
        <f>'ImportMoH combined'!C26</f>
        <v>32</v>
      </c>
      <c r="S166" s="6">
        <f>'ImportMoH combined'!D26</f>
        <v>0</v>
      </c>
      <c r="T166" s="6">
        <f>'ImportMoH combined'!E26</f>
        <v>32</v>
      </c>
      <c r="U166" s="6">
        <f>'ImportMoH combined'!G26</f>
        <v>0</v>
      </c>
      <c r="V166" s="6">
        <f>'ImportMoH combined'!H26</f>
        <v>0</v>
      </c>
      <c r="W166" s="6">
        <f>'ImportMoH combined'!I26</f>
        <v>0</v>
      </c>
    </row>
    <row r="167" spans="2:25" x14ac:dyDescent="0.3">
      <c r="B167" t="str">
        <f t="shared" si="8"/>
        <v xml:space="preserve">&lt;p&gt;  This information below is coming from a different source to the rest of the website which is scraping the Ministry of Health's tables in the Corbid-19 section. </v>
      </c>
      <c r="C167" t="s">
        <v>686</v>
      </c>
      <c r="P167" s="6" t="str">
        <f>'ImportMoH combined'!A27</f>
        <v>Nelson Marlborough</v>
      </c>
      <c r="Q167" s="6">
        <f>'ImportMoH combined'!B27</f>
        <v>0</v>
      </c>
      <c r="R167" s="6">
        <f>'ImportMoH combined'!C27</f>
        <v>49</v>
      </c>
      <c r="S167" s="6">
        <f>'ImportMoH combined'!D27</f>
        <v>0</v>
      </c>
      <c r="T167" s="6">
        <f>'ImportMoH combined'!E27</f>
        <v>49</v>
      </c>
      <c r="U167" s="6">
        <f>'ImportMoH combined'!G27</f>
        <v>0</v>
      </c>
      <c r="V167" s="6">
        <f>'ImportMoH combined'!H27</f>
        <v>0</v>
      </c>
      <c r="W167" s="6">
        <f>'ImportMoH combined'!I27</f>
        <v>0</v>
      </c>
    </row>
    <row r="168" spans="2:25" x14ac:dyDescent="0.3">
      <c r="B168" t="str">
        <f t="shared" si="8"/>
        <v>As I am creating Charts by calling an API for data, the button below takes you to a different web page for the most current information&lt;/p&gt;</v>
      </c>
      <c r="C168" t="s">
        <v>675</v>
      </c>
      <c r="P168" s="6" t="str">
        <f>'ImportMoH combined'!A28</f>
        <v>Northland</v>
      </c>
      <c r="Q168" s="6">
        <f>'ImportMoH combined'!B28</f>
        <v>0</v>
      </c>
      <c r="R168" s="6">
        <f>'ImportMoH combined'!C28</f>
        <v>28</v>
      </c>
      <c r="S168" s="6">
        <f>'ImportMoH combined'!D28</f>
        <v>0</v>
      </c>
      <c r="T168" s="6">
        <f>'ImportMoH combined'!E28</f>
        <v>28</v>
      </c>
      <c r="U168" s="6">
        <f>'ImportMoH combined'!G28</f>
        <v>0</v>
      </c>
      <c r="V168" s="6">
        <f>'ImportMoH combined'!H28</f>
        <v>0</v>
      </c>
      <c r="W168" s="6">
        <f>'ImportMoH combined'!I28</f>
        <v>0</v>
      </c>
    </row>
    <row r="169" spans="2:25" x14ac:dyDescent="0.3">
      <c r="B169" t="str">
        <f t="shared" si="8"/>
        <v>&lt;img src="chart.jpg" alt="chart" width="500" height="333"&gt;&lt;br&gt;</v>
      </c>
      <c r="C169" t="s">
        <v>676</v>
      </c>
      <c r="P169" s="6" t="str">
        <f>'ImportMoH combined'!A29</f>
        <v>South Canterbury</v>
      </c>
      <c r="Q169" s="6">
        <f>'ImportMoH combined'!B29</f>
        <v>0</v>
      </c>
      <c r="R169" s="6">
        <f>'ImportMoH combined'!C29</f>
        <v>17</v>
      </c>
      <c r="S169" s="6">
        <f>'ImportMoH combined'!D29</f>
        <v>0</v>
      </c>
      <c r="T169" s="6">
        <f>'ImportMoH combined'!E29</f>
        <v>17</v>
      </c>
      <c r="U169" s="6">
        <f>'ImportMoH combined'!G29</f>
        <v>0</v>
      </c>
      <c r="V169" s="6" t="str">
        <f>'ImportMoH combined'!H29</f>
        <v>Active</v>
      </c>
      <c r="W169" s="6">
        <f>'ImportMoH combined'!I29</f>
        <v>0</v>
      </c>
    </row>
    <row r="170" spans="2:25" x14ac:dyDescent="0.3">
      <c r="B170" t="str">
        <f t="shared" si="8"/>
        <v>&lt;p class="aligncenter"&gt; &lt;button onclick="myFunction()"&gt;Click to go to Live Charts &lt;/button&gt; &lt;/p&gt;</v>
      </c>
      <c r="C170" t="s">
        <v>677</v>
      </c>
      <c r="J170">
        <f>MAX($Q$158:$Q$177)</f>
        <v>12</v>
      </c>
      <c r="P170" s="6" t="str">
        <f>'ImportMoH combined'!A30</f>
        <v>Southern</v>
      </c>
      <c r="Q170" s="6">
        <f>'ImportMoH combined'!B30</f>
        <v>0</v>
      </c>
      <c r="R170" s="6">
        <f>'ImportMoH combined'!C30</f>
        <v>214</v>
      </c>
      <c r="S170" s="6">
        <f>'ImportMoH combined'!D30</f>
        <v>2</v>
      </c>
      <c r="T170" s="6">
        <f>'ImportMoH combined'!E30</f>
        <v>216</v>
      </c>
      <c r="U170" s="6">
        <f>'ImportMoH combined'!G30</f>
        <v>0</v>
      </c>
      <c r="V170" s="6">
        <f>'ImportMoH combined'!H30</f>
        <v>0</v>
      </c>
      <c r="W170" s="6">
        <f>'ImportMoH combined'!I30</f>
        <v>0</v>
      </c>
    </row>
    <row r="171" spans="2:25" x14ac:dyDescent="0.3">
      <c r="B171" t="str">
        <f t="shared" si="8"/>
        <v>&lt;style&gt;</v>
      </c>
      <c r="C171" t="s">
        <v>368</v>
      </c>
      <c r="J171">
        <f>VLOOKUP(A202,$P$158:$Q$177,2)</f>
        <v>9</v>
      </c>
      <c r="P171" s="6" t="str">
        <f>'ImportMoH combined'!A31</f>
        <v>Tairāwhiti</v>
      </c>
      <c r="Q171" s="6">
        <f>'ImportMoH combined'!B31</f>
        <v>0</v>
      </c>
      <c r="R171" s="6">
        <f>'ImportMoH combined'!C31</f>
        <v>4</v>
      </c>
      <c r="S171" s="6">
        <f>'ImportMoH combined'!D31</f>
        <v>0</v>
      </c>
      <c r="T171" s="6">
        <f>'ImportMoH combined'!E31</f>
        <v>4</v>
      </c>
      <c r="U171" s="6">
        <f>'ImportMoH combined'!G31</f>
        <v>0</v>
      </c>
      <c r="V171" s="6">
        <f>'ImportMoH combined'!H31</f>
        <v>0</v>
      </c>
      <c r="W171" s="6">
        <f>'ImportMoH combined'!I31</f>
        <v>0</v>
      </c>
    </row>
    <row r="172" spans="2:25" x14ac:dyDescent="0.3">
      <c r="B172" t="str">
        <f t="shared" si="8"/>
        <v>.aligncenter {</v>
      </c>
      <c r="C172" t="s">
        <v>678</v>
      </c>
      <c r="J172">
        <f>VLOOKUP($A$202,$P$158:$Q$177,2)</f>
        <v>9</v>
      </c>
      <c r="P172" s="6" t="str">
        <f>'ImportMoH combined'!A32</f>
        <v>Taranaki</v>
      </c>
      <c r="Q172" s="6">
        <f>'ImportMoH combined'!B32</f>
        <v>0</v>
      </c>
      <c r="R172" s="6">
        <f>'ImportMoH combined'!C32</f>
        <v>16</v>
      </c>
      <c r="S172" s="6">
        <f>'ImportMoH combined'!D32</f>
        <v>0</v>
      </c>
      <c r="T172" s="6">
        <f>'ImportMoH combined'!E32</f>
        <v>16</v>
      </c>
      <c r="U172" s="6">
        <f>'ImportMoH combined'!G32</f>
        <v>0</v>
      </c>
      <c r="V172" s="6">
        <f>'ImportMoH combined'!H32</f>
        <v>0</v>
      </c>
      <c r="W172" s="6">
        <f>'ImportMoH combined'!I32</f>
        <v>0</v>
      </c>
    </row>
    <row r="173" spans="2:25" x14ac:dyDescent="0.3">
      <c r="B173" t="str">
        <f t="shared" si="8"/>
        <v xml:space="preserve">    text-align: center;</v>
      </c>
      <c r="C173" t="s">
        <v>679</v>
      </c>
      <c r="P173" s="6" t="str">
        <f>'ImportMoH combined'!A33</f>
        <v>Waikato</v>
      </c>
      <c r="Q173" s="6">
        <f>'ImportMoH combined'!B33</f>
        <v>0</v>
      </c>
      <c r="R173" s="6">
        <f>'ImportMoH combined'!C33</f>
        <v>186</v>
      </c>
      <c r="S173" s="6">
        <f>'ImportMoH combined'!D33</f>
        <v>2</v>
      </c>
      <c r="T173" s="6">
        <f>'ImportMoH combined'!E33</f>
        <v>188</v>
      </c>
      <c r="U173" s="6">
        <f>'ImportMoH combined'!G33</f>
        <v>0</v>
      </c>
      <c r="V173" s="6">
        <f>'ImportMoH combined'!H33</f>
        <v>0</v>
      </c>
      <c r="W173" s="6">
        <f>'ImportMoH combined'!I33</f>
        <v>0</v>
      </c>
    </row>
    <row r="174" spans="2:25" x14ac:dyDescent="0.3">
      <c r="B174" t="str">
        <f t="shared" si="8"/>
        <v>}</v>
      </c>
      <c r="C174" t="s">
        <v>370</v>
      </c>
      <c r="P174" s="6" t="str">
        <f>'ImportMoH combined'!A34</f>
        <v>Wairarapa</v>
      </c>
      <c r="Q174" s="6">
        <f>'ImportMoH combined'!B34</f>
        <v>0</v>
      </c>
      <c r="R174" s="6">
        <f>'ImportMoH combined'!C34</f>
        <v>8</v>
      </c>
      <c r="S174" s="6">
        <f>'ImportMoH combined'!D34</f>
        <v>0</v>
      </c>
      <c r="T174" s="6">
        <f>'ImportMoH combined'!E34</f>
        <v>8</v>
      </c>
      <c r="U174" s="6">
        <f>'ImportMoH combined'!G34</f>
        <v>0</v>
      </c>
      <c r="V174" s="6">
        <f>'ImportMoH combined'!H34</f>
        <v>0</v>
      </c>
      <c r="W174" s="6">
        <f>'ImportMoH combined'!I34</f>
        <v>0</v>
      </c>
    </row>
    <row r="175" spans="2:25" x14ac:dyDescent="0.3">
      <c r="B175" t="str">
        <f t="shared" si="8"/>
        <v>&lt;/style&gt;</v>
      </c>
      <c r="C175" t="s">
        <v>372</v>
      </c>
      <c r="J175">
        <f>VLOOKUP(A202,$P$158:$Q$177,2)</f>
        <v>9</v>
      </c>
      <c r="P175" s="6" t="str">
        <f>'ImportMoH combined'!A35</f>
        <v>Waitematā</v>
      </c>
      <c r="Q175" s="6">
        <f>'ImportMoH combined'!B35</f>
        <v>12</v>
      </c>
      <c r="R175" s="6">
        <f>'ImportMoH combined'!C35</f>
        <v>276</v>
      </c>
      <c r="S175" s="6">
        <f>'ImportMoH combined'!D35</f>
        <v>4</v>
      </c>
      <c r="T175" s="6">
        <f>'ImportMoH combined'!E35</f>
        <v>292</v>
      </c>
      <c r="U175" s="6">
        <f>'ImportMoH combined'!G35</f>
        <v>0</v>
      </c>
      <c r="V175" s="6">
        <f>'ImportMoH combined'!H35</f>
        <v>0</v>
      </c>
      <c r="W175" s="6">
        <f>'ImportMoH combined'!I35</f>
        <v>0</v>
      </c>
    </row>
    <row r="176" spans="2:25" x14ac:dyDescent="0.3">
      <c r="B176" t="str">
        <f t="shared" si="8"/>
        <v>&lt;script&gt;</v>
      </c>
      <c r="C176" t="s">
        <v>646</v>
      </c>
      <c r="P176" s="6" t="str">
        <f>'ImportMoH combined'!A36</f>
        <v>West Coast</v>
      </c>
      <c r="Q176" s="6">
        <f>'ImportMoH combined'!B36</f>
        <v>0</v>
      </c>
      <c r="R176" s="6">
        <f>'ImportMoH combined'!C36</f>
        <v>4</v>
      </c>
      <c r="S176" s="6">
        <f>'ImportMoH combined'!D36</f>
        <v>1</v>
      </c>
      <c r="T176" s="6">
        <f>'ImportMoH combined'!E36</f>
        <v>5</v>
      </c>
      <c r="U176" s="6">
        <f>'ImportMoH combined'!G36</f>
        <v>0</v>
      </c>
      <c r="V176" s="6">
        <f>'ImportMoH combined'!H36</f>
        <v>0</v>
      </c>
      <c r="W176" s="6">
        <f>'ImportMoH combined'!I36</f>
        <v>0</v>
      </c>
    </row>
    <row r="177" spans="2:25" x14ac:dyDescent="0.3">
      <c r="B177" t="str">
        <f t="shared" si="8"/>
        <v>function myFunction() {</v>
      </c>
      <c r="C177" t="s">
        <v>680</v>
      </c>
      <c r="P177" s="6" t="str">
        <f>'ImportMoH combined'!A37</f>
        <v>Whanganui</v>
      </c>
      <c r="Q177" s="6">
        <f>'ImportMoH combined'!B37</f>
        <v>0</v>
      </c>
      <c r="R177" s="6">
        <f>'ImportMoH combined'!C37</f>
        <v>9</v>
      </c>
      <c r="S177" s="6">
        <f>'ImportMoH combined'!D37</f>
        <v>0</v>
      </c>
      <c r="T177" s="6">
        <f>'ImportMoH combined'!E37</f>
        <v>9</v>
      </c>
      <c r="U177" s="6">
        <f>'ImportMoH combined'!G37</f>
        <v>0</v>
      </c>
      <c r="V177" s="6">
        <f>'ImportMoH combined'!H37</f>
        <v>0</v>
      </c>
      <c r="W177" s="6">
        <f>'ImportMoH combined'!I37</f>
        <v>0</v>
      </c>
    </row>
    <row r="178" spans="2:25" x14ac:dyDescent="0.3">
      <c r="B178" t="str">
        <f t="shared" si="8"/>
        <v xml:space="preserve">  location.replace("https://pir2.tk/web/data/covid/covidLineChart.html")  </v>
      </c>
      <c r="C178" t="s">
        <v>681</v>
      </c>
      <c r="P178" s="6" t="str">
        <f>'ImportMoH combined'!A38</f>
        <v>Managed Isolation &amp; Quarantine</v>
      </c>
      <c r="Q178" s="6">
        <f>'ImportMoH combined'!B38</f>
        <v>29</v>
      </c>
      <c r="R178" s="6">
        <f>'ImportMoH combined'!C38</f>
        <v>97</v>
      </c>
      <c r="S178" s="6">
        <f>'ImportMoH combined'!D38</f>
        <v>0</v>
      </c>
      <c r="T178" s="6">
        <f>'ImportMoH combined'!E38</f>
        <v>126</v>
      </c>
      <c r="U178" s="6">
        <f>'ImportMoH combined'!G38</f>
        <v>0</v>
      </c>
      <c r="V178" s="6">
        <f>'ImportMoH combined'!H38</f>
        <v>0</v>
      </c>
      <c r="W178" s="6">
        <f>'ImportMoH combined'!I38</f>
        <v>0</v>
      </c>
    </row>
    <row r="179" spans="2:25" x14ac:dyDescent="0.3">
      <c r="B179" t="str">
        <f t="shared" si="8"/>
        <v>}</v>
      </c>
      <c r="C179" t="s">
        <v>370</v>
      </c>
      <c r="P179" s="6"/>
      <c r="Q179" s="6"/>
      <c r="R179" s="6"/>
      <c r="S179" s="6"/>
      <c r="V179" s="3"/>
    </row>
    <row r="180" spans="2:25" x14ac:dyDescent="0.3">
      <c r="B180" t="str">
        <f t="shared" si="8"/>
        <v>&lt;/script&gt;</v>
      </c>
      <c r="C180" t="s">
        <v>560</v>
      </c>
      <c r="P180" s="6"/>
      <c r="Q180" s="6"/>
      <c r="R180" s="6"/>
      <c r="S180" s="6"/>
      <c r="V180" s="3"/>
    </row>
    <row r="181" spans="2:25" x14ac:dyDescent="0.3">
      <c r="P181" s="6"/>
      <c r="Q181" s="6"/>
      <c r="R181" s="6"/>
      <c r="S181" s="6"/>
      <c r="X181" s="11" t="s">
        <v>9</v>
      </c>
      <c r="Y181" s="12">
        <v>0.8</v>
      </c>
    </row>
    <row r="182" spans="2:25" x14ac:dyDescent="0.3">
      <c r="B182" t="str">
        <f>C182</f>
        <v>&lt;/div&gt;</v>
      </c>
      <c r="C182" t="s">
        <v>464</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551</v>
      </c>
      <c r="P187" s="6"/>
      <c r="Q187" s="6"/>
      <c r="R187" s="6"/>
      <c r="S187" s="6"/>
      <c r="X187" s="3" t="s">
        <v>15</v>
      </c>
      <c r="Y187">
        <v>0.13111496198110001</v>
      </c>
    </row>
    <row r="188" spans="2:25" x14ac:dyDescent="0.3">
      <c r="C188" t="s">
        <v>466</v>
      </c>
      <c r="P188" s="6"/>
      <c r="Q188" s="6"/>
      <c r="R188" s="6"/>
      <c r="S188" s="6"/>
    </row>
    <row r="189" spans="2:25" x14ac:dyDescent="0.3">
      <c r="C189" t="s">
        <v>471</v>
      </c>
      <c r="P189" s="6"/>
      <c r="Q189" s="6"/>
      <c r="R189" s="6"/>
      <c r="S189" s="6"/>
    </row>
    <row r="190" spans="2:25" x14ac:dyDescent="0.3">
      <c r="C190" t="s">
        <v>472</v>
      </c>
      <c r="F190">
        <f>MAX($Q$159:$Q$193)</f>
        <v>29</v>
      </c>
      <c r="P190" s="6"/>
      <c r="Q190" s="6"/>
      <c r="R190" s="6"/>
      <c r="S190" s="6"/>
    </row>
    <row r="191" spans="2:25" x14ac:dyDescent="0.3">
      <c r="C191" t="s">
        <v>467</v>
      </c>
      <c r="F191">
        <v>4</v>
      </c>
      <c r="P191" s="6"/>
      <c r="Q191" s="6"/>
      <c r="R191" s="6"/>
      <c r="S191" s="6"/>
    </row>
    <row r="192" spans="2:25" x14ac:dyDescent="0.3">
      <c r="C192" t="s">
        <v>473</v>
      </c>
      <c r="F192">
        <f>ROUND(F190/4,0)</f>
        <v>7</v>
      </c>
      <c r="P192" s="6"/>
      <c r="Q192" s="6"/>
      <c r="R192" s="6"/>
      <c r="S192" s="6"/>
    </row>
    <row r="193" spans="1:29" x14ac:dyDescent="0.3">
      <c r="C193" t="s">
        <v>468</v>
      </c>
      <c r="P193" s="6"/>
      <c r="Q193" s="6"/>
      <c r="R193" s="6"/>
      <c r="S193" s="6"/>
    </row>
    <row r="194" spans="1:29" x14ac:dyDescent="0.3">
      <c r="F194">
        <f>1/33</f>
        <v>3.0303030303030304E-2</v>
      </c>
      <c r="P194" s="6"/>
      <c r="Q194" s="6"/>
      <c r="R194" s="6"/>
      <c r="S194" s="6"/>
    </row>
    <row r="196" spans="1:29" x14ac:dyDescent="0.3">
      <c r="E196" t="s">
        <v>475</v>
      </c>
    </row>
    <row r="197" spans="1:29" x14ac:dyDescent="0.3">
      <c r="B197" t="str">
        <f>C197</f>
        <v>&lt;svg viewBox="20 60 700 1200 "&gt;</v>
      </c>
      <c r="C197" t="s">
        <v>581</v>
      </c>
      <c r="D197" t="s">
        <v>474</v>
      </c>
      <c r="E197" t="s">
        <v>476</v>
      </c>
    </row>
    <row r="198" spans="1:29" x14ac:dyDescent="0.3">
      <c r="E198" t="s">
        <v>478</v>
      </c>
    </row>
    <row r="199" spans="1:29" x14ac:dyDescent="0.3">
      <c r="B199" t="str">
        <f>C199</f>
        <v>&lt;g id="BASE_MAP"&gt;</v>
      </c>
      <c r="C199" t="s">
        <v>227</v>
      </c>
      <c r="J199" t="s">
        <v>1048</v>
      </c>
      <c r="P199" s="13"/>
      <c r="Q199" s="13"/>
      <c r="R199" s="13"/>
      <c r="S199" s="13"/>
      <c r="T199" s="13"/>
      <c r="U199" s="13"/>
      <c r="V199" s="13"/>
      <c r="W199" s="13"/>
    </row>
    <row r="200" spans="1:29" s="13" customFormat="1" x14ac:dyDescent="0.3">
      <c r="A200" s="13" t="s">
        <v>352</v>
      </c>
      <c r="P200"/>
      <c r="Q200"/>
      <c r="R200"/>
      <c r="S200"/>
      <c r="T200"/>
      <c r="U200"/>
      <c r="V200"/>
      <c r="W200"/>
    </row>
    <row r="201" spans="1:29" x14ac:dyDescent="0.3">
      <c r="B201" t="str">
        <f>C201</f>
        <v>&lt;g id="Polygons"&gt;</v>
      </c>
      <c r="C201" t="s">
        <v>258</v>
      </c>
      <c r="P201" t="s">
        <v>260</v>
      </c>
      <c r="Q201" t="s">
        <v>265</v>
      </c>
      <c r="R201" t="s">
        <v>1048</v>
      </c>
      <c r="S201" t="s">
        <v>261</v>
      </c>
      <c r="T201" t="s">
        <v>265</v>
      </c>
      <c r="U201" t="s">
        <v>1048</v>
      </c>
      <c r="V201" t="s">
        <v>262</v>
      </c>
      <c r="W201" t="s">
        <v>265</v>
      </c>
    </row>
    <row r="202" spans="1:29" x14ac:dyDescent="0.3">
      <c r="A202" t="s">
        <v>1</v>
      </c>
      <c r="B202" t="str">
        <f>CONCATENATE(C202,D202,E202,Tooltips!B4,F202,A202,H202,I202,$AC$202,J202,K202,L202,$AC$202,M202,P201,Q201,$AC$202,R201,S201,T201,$AC$202,U201,V201,W201,$AC$202,X202,Y202,Z202,$AC$202,AA202,AB202)</f>
        <v>&lt;g opacity="1"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266</v>
      </c>
      <c r="D202" s="6">
        <f t="shared" ref="D202:D222" si="9">(ROUND(MAX($Q$158:$Q$177)*0.25,0)+VLOOKUP(A202,$P$158:$Q$177,2))/MAX($Q$158:$Q$177)</f>
        <v>1</v>
      </c>
      <c r="E202" t="s">
        <v>267</v>
      </c>
      <c r="F202" t="s">
        <v>264</v>
      </c>
      <c r="G202" t="str">
        <f t="shared" ref="G202:G221" si="10">A202</f>
        <v>Auckland</v>
      </c>
      <c r="H202" t="s">
        <v>268</v>
      </c>
      <c r="I202" t="s">
        <v>265</v>
      </c>
      <c r="J202" t="s">
        <v>1048</v>
      </c>
      <c r="K202" t="s">
        <v>259</v>
      </c>
      <c r="L202" t="s">
        <v>265</v>
      </c>
      <c r="M202" t="s">
        <v>1048</v>
      </c>
      <c r="P202" t="s">
        <v>315</v>
      </c>
      <c r="Q202" t="s">
        <v>265</v>
      </c>
      <c r="R202" t="s">
        <v>1048</v>
      </c>
      <c r="S202" t="s">
        <v>316</v>
      </c>
      <c r="T202" t="s">
        <v>265</v>
      </c>
      <c r="U202" t="s">
        <v>1048</v>
      </c>
      <c r="V202" t="s">
        <v>317</v>
      </c>
      <c r="W202" t="s">
        <v>265</v>
      </c>
      <c r="X202" t="s">
        <v>1048</v>
      </c>
      <c r="Y202" t="s">
        <v>263</v>
      </c>
      <c r="Z202" t="s">
        <v>265</v>
      </c>
      <c r="AA202" t="s">
        <v>1048</v>
      </c>
      <c r="AB202" t="s">
        <v>225</v>
      </c>
      <c r="AC202" t="s">
        <v>366</v>
      </c>
    </row>
    <row r="203" spans="1:29" x14ac:dyDescent="0.3">
      <c r="A203" t="s">
        <v>2</v>
      </c>
      <c r="B203" t="str">
        <f>CONCATENATE(C203,D203,E203,Tooltips!B5,F203,A203,H203,I203,$AC$203,J203,K203,L203,$AC$203,M203,P202,Q202,$AC$203,R202,S202,T202,$AC$203,U202,V202,W202,$AC$203,X203,Y203,Z203,$AC$203,AA203,AB203)</f>
        <v>&lt;g opacity="0.25" style="mix-blend-mode: overlay"&gt;&lt;title&gt;Bay of Plenty DHB @Pop = 238380 ,   Confirmed  = 0, new today= 0 ,Active 29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266</v>
      </c>
      <c r="D203" s="6">
        <f t="shared" si="9"/>
        <v>0.25</v>
      </c>
      <c r="E203" t="s">
        <v>267</v>
      </c>
      <c r="F203" t="s">
        <v>264</v>
      </c>
      <c r="G203" t="str">
        <f t="shared" si="10"/>
        <v>Bay of Plenty</v>
      </c>
      <c r="H203" t="s">
        <v>269</v>
      </c>
      <c r="I203" t="s">
        <v>265</v>
      </c>
      <c r="J203" t="s">
        <v>1048</v>
      </c>
      <c r="K203" t="s">
        <v>314</v>
      </c>
      <c r="L203" t="s">
        <v>265</v>
      </c>
      <c r="M203" t="s">
        <v>1048</v>
      </c>
      <c r="X203" t="s">
        <v>1048</v>
      </c>
      <c r="AB203" t="s">
        <v>225</v>
      </c>
      <c r="AC203" t="s">
        <v>367</v>
      </c>
    </row>
    <row r="204" spans="1:29" x14ac:dyDescent="0.3">
      <c r="A204" t="s">
        <v>3</v>
      </c>
      <c r="B204" t="str">
        <f>CONCATENATE(C204,D204,E204,Tooltips!B6,F204,A204,H204,I204,$AC$203,J204,K204,L204,$AC$203,M204,P203,Q203,$AC$203,R203,S203,T203,$AC$203,U203,V203,W203,$AC$203,X204,Y204,Z204,$AC$203,AA204,AB204)</f>
        <v>&lt;g opacity="0.25"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266</v>
      </c>
      <c r="D204" s="6">
        <f t="shared" si="9"/>
        <v>0.25</v>
      </c>
      <c r="E204" t="s">
        <v>267</v>
      </c>
      <c r="F204" t="s">
        <v>264</v>
      </c>
      <c r="G204" t="str">
        <f t="shared" si="10"/>
        <v>Canterbury</v>
      </c>
      <c r="H204" t="s">
        <v>313</v>
      </c>
      <c r="I204" t="s">
        <v>265</v>
      </c>
      <c r="J204" t="s">
        <v>1048</v>
      </c>
      <c r="AB204" t="s">
        <v>225</v>
      </c>
      <c r="AC204" t="s">
        <v>256</v>
      </c>
    </row>
    <row r="205" spans="1:29" x14ac:dyDescent="0.3">
      <c r="A205" t="s">
        <v>4</v>
      </c>
      <c r="B205" t="str">
        <f>CONCATENATE(C205,D205,E205,Tooltips!B7,F205,A205,H205,I205,$AC$203,J205,K205,L205,$AC$203,M205,P204,Q204,$AC$203,R204,S204,T204,$AC$203,U204,V204,W204,$AC$203,X205,Y205,Z205,$AC$203,AA205,AB205)</f>
        <v>&lt;g opacity="0.25"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266</v>
      </c>
      <c r="D205" s="6">
        <f t="shared" si="9"/>
        <v>0.25</v>
      </c>
      <c r="E205" t="s">
        <v>267</v>
      </c>
      <c r="F205" t="s">
        <v>264</v>
      </c>
      <c r="G205" t="str">
        <f t="shared" si="10"/>
        <v>Capital and Coast</v>
      </c>
      <c r="H205" t="s">
        <v>280</v>
      </c>
      <c r="I205" t="s">
        <v>265</v>
      </c>
      <c r="J205" t="s">
        <v>1048</v>
      </c>
      <c r="AB205" t="s">
        <v>225</v>
      </c>
    </row>
    <row r="206" spans="1:29" x14ac:dyDescent="0.3">
      <c r="A206" t="s">
        <v>5</v>
      </c>
      <c r="B206" t="str">
        <f>CONCATENATE(C206,D206,E206,Tooltips!B8,F206,A206,H206,I206,$AC$203,J206,K206,L206,$AC$203,M206,P205,Q205,$AC$203,R205,S205,T205,$AC$203,U205,V205,W205,$AC$203,X206,Y206,Z206,$AC$203,AA206,AB206)</f>
        <v>&lt;g opacity="1.16666666666667" style="mix-blend-mode: overlay"&gt;&lt;title&gt;Counties Manukau DHB @Pop = 563210 ,   Confirmed  = Total, new today= 0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266</v>
      </c>
      <c r="D206" s="6">
        <f t="shared" si="9"/>
        <v>1.1666666666666667</v>
      </c>
      <c r="E206" t="s">
        <v>267</v>
      </c>
      <c r="F206" t="s">
        <v>264</v>
      </c>
      <c r="G206" t="str">
        <f t="shared" si="10"/>
        <v>Counties Manukau</v>
      </c>
      <c r="H206" t="s">
        <v>281</v>
      </c>
      <c r="I206" t="s">
        <v>265</v>
      </c>
      <c r="J206" t="s">
        <v>1048</v>
      </c>
      <c r="AB206" t="s">
        <v>225</v>
      </c>
    </row>
    <row r="207" spans="1:29" x14ac:dyDescent="0.3">
      <c r="A207" t="s">
        <v>6</v>
      </c>
      <c r="B207" t="str">
        <f>CONCATENATE(C207,D207,E207,Tooltips!B9,F207,A207,H207,I207,$AC$203,J207,K207,L207,$AC$203,M207,P206,Q206,$AC$203,R206,S206,T206,$AC$203,U206,V206,W206,$AC$203,X207,Y207,Z207,$AC$203,AA207,AB207)</f>
        <v>&lt;g opacity="0.25" style="mix-blend-mode: overlay"&gt;&lt;title&gt;Hawke's Bay DHB @Pop = 165610 ,   Confirmed  = 223, new today= 0 ,Active 9 ,Recovered 213 ,Deaths 1,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266</v>
      </c>
      <c r="D207" s="6">
        <f t="shared" si="9"/>
        <v>0.25</v>
      </c>
      <c r="E207" t="s">
        <v>267</v>
      </c>
      <c r="F207" t="s">
        <v>264</v>
      </c>
      <c r="G207" t="str">
        <f t="shared" si="10"/>
        <v>Hawke's Bay</v>
      </c>
      <c r="H207" t="s">
        <v>282</v>
      </c>
      <c r="I207" t="s">
        <v>265</v>
      </c>
      <c r="J207" t="s">
        <v>1048</v>
      </c>
      <c r="AB207" t="s">
        <v>225</v>
      </c>
    </row>
    <row r="208" spans="1:29" x14ac:dyDescent="0.3">
      <c r="A208" t="s">
        <v>12</v>
      </c>
      <c r="B208" t="str">
        <f>CONCATENATE(C208,D208,E208,Tooltips!B10,F208,A208,H208,I208,$AC$203,J208,K208,L208,$AC$203,M208,P207,Q207,$AC$203,R207,S207,T207,$AC$203,U207,V207,W207,$AC$203,X208,Y208,Z208,$AC$203,AA208,AB208)</f>
        <v>&lt;g opacity="0.25" style="mix-blend-mode: overlay"&gt;&lt;title&gt;Hutt Valley DHB @Pop = 149680 ,   Confirmed  = 48, new today= 0 ,Active 0 ,Recovered 48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266</v>
      </c>
      <c r="D208" s="6">
        <f t="shared" si="9"/>
        <v>0.25</v>
      </c>
      <c r="E208" t="s">
        <v>267</v>
      </c>
      <c r="F208" t="s">
        <v>264</v>
      </c>
      <c r="G208" t="str">
        <f t="shared" si="10"/>
        <v>Hutt Valley</v>
      </c>
      <c r="H208" t="s">
        <v>283</v>
      </c>
      <c r="I208" t="s">
        <v>265</v>
      </c>
      <c r="J208" t="s">
        <v>1048</v>
      </c>
      <c r="AB208" t="s">
        <v>225</v>
      </c>
    </row>
    <row r="209" spans="1:47" x14ac:dyDescent="0.3">
      <c r="A209" t="s">
        <v>16</v>
      </c>
      <c r="B209" t="str">
        <f>CONCATENATE(C209,D209,E209,Tooltips!B11,F209,A209,H209,I209,$AC$203,J209,K209,L209,$AC$203,M209,P208,Q208,$AC$203,R208,S208,T208,$AC$203,U208,V208,W208,$AC$203,X209,Y209,Z209,$AC$203,AA209,AB209)</f>
        <v>&lt;g opacity="0.25" style="mix-blend-mode: overlay"&gt;&lt;title&gt;Lakes DHB @Pop = 110410 ,   Confirmed  = 164, new today= 0 ,Active 0 ,Recovered 152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266</v>
      </c>
      <c r="D209" s="6">
        <f t="shared" si="9"/>
        <v>0.25</v>
      </c>
      <c r="E209" t="s">
        <v>267</v>
      </c>
      <c r="F209" t="s">
        <v>264</v>
      </c>
      <c r="G209" t="str">
        <f t="shared" si="10"/>
        <v>Lakes</v>
      </c>
      <c r="H209" t="s">
        <v>284</v>
      </c>
      <c r="I209" t="s">
        <v>265</v>
      </c>
      <c r="J209" t="s">
        <v>1048</v>
      </c>
      <c r="AB209" t="s">
        <v>225</v>
      </c>
    </row>
    <row r="210" spans="1:47" x14ac:dyDescent="0.3">
      <c r="A210" t="s">
        <v>13</v>
      </c>
      <c r="B210" t="str">
        <f>CONCATENATE(C210,D210,E210,Tooltips!B12,F210,A210,H210,I210,$AC$203,J210,K210,L210,$AC$203,M210,P209,Q209,$AC$203,R209,S209,T209,$AC$203,U209,V209,W209,$AC$203,X210,Y210,Z210,$AC$203,AA210,AB210)</f>
        <v>&lt;g opacity="0.25" style="mix-blend-mode: overlay"&gt;&lt;title&gt;MidCentral DHB @Pop = 178820 ,   Confirmed  = 95, new today= 0 ,Active 0 ,Recovered 93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266</v>
      </c>
      <c r="D210" s="6">
        <f t="shared" si="9"/>
        <v>0.25</v>
      </c>
      <c r="E210" t="s">
        <v>267</v>
      </c>
      <c r="F210" t="s">
        <v>264</v>
      </c>
      <c r="G210" t="str">
        <f t="shared" si="10"/>
        <v>MidCentral</v>
      </c>
      <c r="H210" t="s">
        <v>285</v>
      </c>
      <c r="I210" t="s">
        <v>265</v>
      </c>
      <c r="J210" t="s">
        <v>1048</v>
      </c>
      <c r="K210" t="s">
        <v>270</v>
      </c>
      <c r="L210" t="s">
        <v>265</v>
      </c>
      <c r="M210" t="s">
        <v>1048</v>
      </c>
      <c r="P210" t="s">
        <v>271</v>
      </c>
      <c r="Q210" t="s">
        <v>265</v>
      </c>
      <c r="R210" t="s">
        <v>1048</v>
      </c>
      <c r="S210" t="s">
        <v>271</v>
      </c>
      <c r="T210" t="s">
        <v>265</v>
      </c>
      <c r="U210" t="s">
        <v>1048</v>
      </c>
      <c r="V210" t="s">
        <v>289</v>
      </c>
      <c r="W210" t="s">
        <v>265</v>
      </c>
      <c r="AB210" t="s">
        <v>225</v>
      </c>
    </row>
    <row r="211" spans="1:47" x14ac:dyDescent="0.3">
      <c r="A211" t="s">
        <v>7</v>
      </c>
      <c r="B211" t="str">
        <f>CONCATENATE(C211,D211,E211,Tooltips!B13,F211,A211,H211,I211,$AC$203,J211,K211,L211,$AC$203,M211,P210,Q210,$AC$203,R210,S210,T210,$AC$203,U210,V210,W210,$AC$203,X211,Y211,Z211,$AC$203,AA211,AB211)</f>
        <v>&lt;g opacity="0.25" style="mix-blend-mode: overlay"&gt;&lt;title&gt;Nelson Marlborough DHB @Pop = 150770 ,   Confirmed  = 213, new today= 0 ,Active 11 ,Recovered 201 ,Deaths 1,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266</v>
      </c>
      <c r="D211" s="6">
        <f t="shared" si="9"/>
        <v>0.25</v>
      </c>
      <c r="E211" t="s">
        <v>267</v>
      </c>
      <c r="F211" t="s">
        <v>264</v>
      </c>
      <c r="G211" t="str">
        <f t="shared" si="10"/>
        <v>Nelson Marlborough</v>
      </c>
      <c r="H211" t="s">
        <v>286</v>
      </c>
      <c r="I211" t="s">
        <v>265</v>
      </c>
      <c r="J211" t="s">
        <v>1048</v>
      </c>
      <c r="K211" t="s">
        <v>287</v>
      </c>
      <c r="L211" t="s">
        <v>265</v>
      </c>
      <c r="M211" t="s">
        <v>288</v>
      </c>
      <c r="P211" t="s">
        <v>292</v>
      </c>
      <c r="Q211" t="s">
        <v>265</v>
      </c>
      <c r="R211" t="s">
        <v>1048</v>
      </c>
      <c r="S211" t="s">
        <v>293</v>
      </c>
      <c r="T211" t="s">
        <v>265</v>
      </c>
      <c r="U211" t="s">
        <v>1048</v>
      </c>
      <c r="V211" t="s">
        <v>294</v>
      </c>
      <c r="W211" t="s">
        <v>265</v>
      </c>
      <c r="X211" t="s">
        <v>1048</v>
      </c>
      <c r="Y211" t="s">
        <v>272</v>
      </c>
      <c r="Z211" t="s">
        <v>265</v>
      </c>
      <c r="AA211" t="s">
        <v>1048</v>
      </c>
      <c r="AB211" t="s">
        <v>225</v>
      </c>
    </row>
    <row r="212" spans="1:47" x14ac:dyDescent="0.3">
      <c r="A212" t="s">
        <v>17</v>
      </c>
      <c r="B212" t="str">
        <f>CONCATENATE(C212,D212,E212,Tooltips!B14,F212,A212,H212,I212,$AC$203,J212,K212,L212,$AC$203,M212,P211,Q211,$AC$203,R211,S211,T211,$AC$203,U211,V211,W211,$AC$203,X212,Y212,Z212,$AC$203,AA212,AB212)</f>
        <v>&lt;g opacity="0.25"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266</v>
      </c>
      <c r="D212" s="6">
        <f t="shared" si="9"/>
        <v>0.25</v>
      </c>
      <c r="E212" t="s">
        <v>267</v>
      </c>
      <c r="F212" t="s">
        <v>264</v>
      </c>
      <c r="G212" t="str">
        <f t="shared" si="10"/>
        <v>Northland</v>
      </c>
      <c r="H212" t="s">
        <v>290</v>
      </c>
      <c r="I212" t="s">
        <v>265</v>
      </c>
      <c r="J212" t="s">
        <v>1048</v>
      </c>
      <c r="K212" t="s">
        <v>291</v>
      </c>
      <c r="L212" t="s">
        <v>265</v>
      </c>
      <c r="M212" t="s">
        <v>1048</v>
      </c>
      <c r="X212" t="s">
        <v>1048</v>
      </c>
      <c r="Y212" t="s">
        <v>273</v>
      </c>
      <c r="Z212" t="s">
        <v>265</v>
      </c>
      <c r="AA212" t="s">
        <v>1048</v>
      </c>
      <c r="AB212" t="s">
        <v>225</v>
      </c>
    </row>
    <row r="213" spans="1:47" x14ac:dyDescent="0.3">
      <c r="A213" t="s">
        <v>8</v>
      </c>
      <c r="B213" t="str">
        <f>CONCATENATE(C213,D213,E213,Tooltips!B15,F213,A213,H213,I213,$AC$203,J213,K213,L213,$AC$203,M213,P212,Q212,$AC$203,R212,S212,T212,$AC$203,U212,V212,W212,$AC$203,X213,Y213,Z213,$AC$203,AA213,AB213)</f>
        <v>&lt;g opacity="0.25"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266</v>
      </c>
      <c r="D213" s="6">
        <f t="shared" si="9"/>
        <v>0.25</v>
      </c>
      <c r="E213" t="s">
        <v>267</v>
      </c>
      <c r="F213" t="s">
        <v>264</v>
      </c>
      <c r="G213" t="str">
        <f t="shared" si="10"/>
        <v>South Canterbury</v>
      </c>
      <c r="H213" t="s">
        <v>295</v>
      </c>
      <c r="I213" t="s">
        <v>265</v>
      </c>
      <c r="J213" t="s">
        <v>1048</v>
      </c>
      <c r="P213" s="12" t="s">
        <v>297</v>
      </c>
      <c r="Q213" s="12" t="s">
        <v>265</v>
      </c>
      <c r="R213" t="s">
        <v>1048</v>
      </c>
      <c r="S213" s="12" t="s">
        <v>274</v>
      </c>
      <c r="T213" s="12" t="s">
        <v>265</v>
      </c>
      <c r="U213" t="s">
        <v>1048</v>
      </c>
      <c r="V213" s="12" t="s">
        <v>298</v>
      </c>
      <c r="W213" s="12" t="s">
        <v>265</v>
      </c>
      <c r="AB213" t="s">
        <v>225</v>
      </c>
    </row>
    <row r="214" spans="1:47" s="12" customFormat="1" x14ac:dyDescent="0.3">
      <c r="A214" t="s">
        <v>9</v>
      </c>
      <c r="B214" s="12" t="str">
        <f>CONCATENATE(C214,D214,E214,Tooltips!B16,F214,A214,H214,I214,$AC$203,J214,K214,L214,$AC$203,M214,P213,Q213,$AC$203,R213,S213,T213,$AC$203,U213,V213,W213,$AC$203,X214,Y214,Z214,$AC$203,AA214,AB214,AD214,$AC$203,AE214,AF214,AG214,$AC$203,AH214,AI214,AJ214,$AC$203,AK214,AL214,AM214,$AC$203,AN214,AO214,AP214,$AC$203,AQ214,AR214,AS214,$AC$203,AT214,AU214)</f>
        <v>&lt;g opacity="0.25"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266</v>
      </c>
      <c r="D214" s="6">
        <f t="shared" si="9"/>
        <v>0.25</v>
      </c>
      <c r="E214" s="12" t="s">
        <v>267</v>
      </c>
      <c r="F214" s="12" t="s">
        <v>264</v>
      </c>
      <c r="G214" s="12" t="str">
        <f t="shared" si="10"/>
        <v>Southern</v>
      </c>
      <c r="H214" s="12" t="s">
        <v>312</v>
      </c>
      <c r="I214" s="12" t="s">
        <v>265</v>
      </c>
      <c r="J214" t="s">
        <v>1048</v>
      </c>
      <c r="K214" s="12" t="s">
        <v>296</v>
      </c>
      <c r="L214" s="12" t="s">
        <v>265</v>
      </c>
      <c r="M214" t="s">
        <v>1048</v>
      </c>
      <c r="N214"/>
      <c r="O214"/>
      <c r="P214"/>
      <c r="Q214"/>
      <c r="R214"/>
      <c r="S214"/>
      <c r="T214"/>
      <c r="U214"/>
      <c r="V214"/>
      <c r="W214"/>
      <c r="X214" t="s">
        <v>1048</v>
      </c>
      <c r="Y214" s="12" t="s">
        <v>275</v>
      </c>
      <c r="Z214" s="12" t="s">
        <v>265</v>
      </c>
      <c r="AA214" t="s">
        <v>1048</v>
      </c>
      <c r="AB214" s="12" t="s">
        <v>276</v>
      </c>
      <c r="AC214" s="12" t="s">
        <v>257</v>
      </c>
      <c r="AD214" s="12" t="s">
        <v>265</v>
      </c>
      <c r="AE214" t="s">
        <v>1048</v>
      </c>
      <c r="AF214" s="12" t="s">
        <v>299</v>
      </c>
      <c r="AG214" s="12" t="s">
        <v>265</v>
      </c>
      <c r="AH214" t="s">
        <v>1048</v>
      </c>
      <c r="AI214" s="12" t="s">
        <v>300</v>
      </c>
      <c r="AJ214" s="12" t="s">
        <v>265</v>
      </c>
      <c r="AK214" t="s">
        <v>1048</v>
      </c>
      <c r="AL214" s="12" t="s">
        <v>277</v>
      </c>
      <c r="AM214" s="12" t="s">
        <v>265</v>
      </c>
      <c r="AN214" t="s">
        <v>1048</v>
      </c>
      <c r="AO214" s="12" t="s">
        <v>278</v>
      </c>
      <c r="AP214" s="12" t="s">
        <v>265</v>
      </c>
      <c r="AQ214" t="s">
        <v>1048</v>
      </c>
      <c r="AR214" t="s">
        <v>301</v>
      </c>
      <c r="AS214" s="12" t="s">
        <v>265</v>
      </c>
      <c r="AT214" t="s">
        <v>1048</v>
      </c>
      <c r="AU214" t="s">
        <v>225</v>
      </c>
    </row>
    <row r="215" spans="1:47" x14ac:dyDescent="0.3">
      <c r="A215" t="s">
        <v>206</v>
      </c>
      <c r="B215" t="str">
        <f>CONCATENATE(C215,D215,E215,Tooltips!B17,F215,A215,H215,I215,$AC$203,J215,K215,L215,$AC$203,M215,P214,Q214,$AC$203,R214,S214,T214,$AC$203,U214,V214,W214,$AC$203,X215,Y215,Z215,$AC$203,AA215,AB215)</f>
        <v>&lt;g opacity="0.25"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266</v>
      </c>
      <c r="D215" s="6">
        <f t="shared" si="9"/>
        <v>0.25</v>
      </c>
      <c r="E215" t="s">
        <v>267</v>
      </c>
      <c r="F215" t="s">
        <v>264</v>
      </c>
      <c r="G215" t="str">
        <f t="shared" si="10"/>
        <v>Tairāwhiti</v>
      </c>
      <c r="H215" t="s">
        <v>302</v>
      </c>
      <c r="I215" t="s">
        <v>265</v>
      </c>
      <c r="J215" t="s">
        <v>1048</v>
      </c>
      <c r="AB215" t="s">
        <v>225</v>
      </c>
    </row>
    <row r="216" spans="1:47" x14ac:dyDescent="0.3">
      <c r="A216" t="s">
        <v>14</v>
      </c>
      <c r="B216" t="str">
        <f>CONCATENATE(C216,D216,E216,Tooltips!B18,F216,A216,H216,I216,$AC$203,J216,K216,L216,$AC$203,M216,P215,Q215,$AC$203,R215,S215,T215,$AC$203,U215,V215,W215,$AC$203,X216,Y216,Z216,$AC$203,AA216,AB216)</f>
        <v>&lt;g opacity="0.25"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266</v>
      </c>
      <c r="D216" s="6">
        <f t="shared" si="9"/>
        <v>0.25</v>
      </c>
      <c r="E216" t="s">
        <v>267</v>
      </c>
      <c r="F216" t="s">
        <v>264</v>
      </c>
      <c r="G216" t="str">
        <f t="shared" si="10"/>
        <v>Taranaki</v>
      </c>
      <c r="H216" t="s">
        <v>303</v>
      </c>
      <c r="I216" t="s">
        <v>265</v>
      </c>
      <c r="J216" t="s">
        <v>1048</v>
      </c>
      <c r="P216" t="s">
        <v>306</v>
      </c>
      <c r="Q216" t="s">
        <v>265</v>
      </c>
      <c r="R216" t="s">
        <v>1048</v>
      </c>
      <c r="S216" t="s">
        <v>307</v>
      </c>
      <c r="T216" t="s">
        <v>265</v>
      </c>
      <c r="U216" t="s">
        <v>1048</v>
      </c>
      <c r="V216" t="s">
        <v>308</v>
      </c>
      <c r="W216" t="s">
        <v>265</v>
      </c>
      <c r="AB216" t="s">
        <v>225</v>
      </c>
    </row>
    <row r="217" spans="1:47" x14ac:dyDescent="0.3">
      <c r="A217" t="s">
        <v>10</v>
      </c>
      <c r="B217" t="str">
        <f>CONCATENATE(C217,D217,E217,Tooltips!B19,F217,A217,H217,I217,$AC$203,J217,K217,L217,$AC$203,M217,P216,Q216,$AC$203,R216,S216,T216,$AC$203,U216,V216,W216,$AC$203,X217,Y217,Z217,$AC$203,AA217,AB217)</f>
        <v>&lt;g opacity="0.25"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266</v>
      </c>
      <c r="D217" s="6">
        <f t="shared" si="9"/>
        <v>0.25</v>
      </c>
      <c r="E217" t="s">
        <v>267</v>
      </c>
      <c r="F217" t="s">
        <v>264</v>
      </c>
      <c r="G217" t="str">
        <f t="shared" si="10"/>
        <v>Waikato</v>
      </c>
      <c r="H217" t="s">
        <v>304</v>
      </c>
      <c r="I217" t="s">
        <v>265</v>
      </c>
      <c r="J217" t="s">
        <v>1048</v>
      </c>
      <c r="K217" t="s">
        <v>305</v>
      </c>
      <c r="L217" t="s">
        <v>265</v>
      </c>
      <c r="M217" t="s">
        <v>1048</v>
      </c>
      <c r="X217" t="s">
        <v>1048</v>
      </c>
      <c r="AB217" t="s">
        <v>225</v>
      </c>
    </row>
    <row r="218" spans="1:47" x14ac:dyDescent="0.3">
      <c r="A218" t="s">
        <v>20</v>
      </c>
      <c r="B218" t="str">
        <f>CONCATENATE(C218,D218,E218,Tooltips!B20,F218,A218,H218,I218,$AC$203,J218,K218,L218,$AC$203,M218,P217,Q217,$AC$203,R217,S217,T217,$AC$203,U217,V217,W217,$AC$203,X218,Y218,Z218,$AC$203,AA218,AB218)</f>
        <v>&lt;g opacity="0.25"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266</v>
      </c>
      <c r="D218" s="6">
        <f t="shared" si="9"/>
        <v>0.25</v>
      </c>
      <c r="E218" t="s">
        <v>267</v>
      </c>
      <c r="F218" t="s">
        <v>264</v>
      </c>
      <c r="G218" t="str">
        <f t="shared" si="10"/>
        <v>Wairarapa</v>
      </c>
      <c r="H218" t="s">
        <v>309</v>
      </c>
      <c r="I218" t="s">
        <v>265</v>
      </c>
      <c r="J218" t="s">
        <v>1048</v>
      </c>
      <c r="AB218" t="s">
        <v>225</v>
      </c>
    </row>
    <row r="219" spans="1:47" x14ac:dyDescent="0.3">
      <c r="A219" t="s">
        <v>815</v>
      </c>
      <c r="B219" t="str">
        <f>CONCATENATE(C219,D219,E219,Tooltips!B21,F219,A219,H219,I219,$AC$203,J219,K219,L219,$AC$203,M219,P218,Q218,$AC$203,R218,S218,T218,$AC$203,U218,V218,W218,$AC$203,X219,Y219,Z219,$AC$203,AA219,AB219)</f>
        <v>&lt;g opacity="1.25"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266</v>
      </c>
      <c r="D219" s="6">
        <f t="shared" si="9"/>
        <v>1.25</v>
      </c>
      <c r="E219" t="s">
        <v>267</v>
      </c>
      <c r="F219" t="s">
        <v>264</v>
      </c>
      <c r="G219" t="str">
        <f t="shared" si="10"/>
        <v>Waitematā</v>
      </c>
      <c r="H219" t="s">
        <v>375</v>
      </c>
      <c r="I219" t="s">
        <v>265</v>
      </c>
      <c r="J219" t="s">
        <v>1048</v>
      </c>
      <c r="K219" t="s">
        <v>279</v>
      </c>
      <c r="L219" t="s">
        <v>265</v>
      </c>
      <c r="M219" t="s">
        <v>1048</v>
      </c>
      <c r="AB219" t="s">
        <v>225</v>
      </c>
    </row>
    <row r="220" spans="1:47" x14ac:dyDescent="0.3">
      <c r="A220" t="s">
        <v>19</v>
      </c>
      <c r="B220" t="str">
        <f>CONCATENATE(C220,D220,E220,Tooltips!B22,F220,A220,H220,I220,$AC$203,J220,K220,L220,$AC$203,M220,P219,Q219,$AC$203,R219,S219,T219,$AC$203,U219,V219,W219,$AC$203,X220,Y220,Z220,$AC$203,AA220,AB220)</f>
        <v>&lt;g opacity="0.25"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266</v>
      </c>
      <c r="D220" s="6">
        <f t="shared" si="9"/>
        <v>0.25</v>
      </c>
      <c r="E220" t="s">
        <v>267</v>
      </c>
      <c r="F220" t="s">
        <v>264</v>
      </c>
      <c r="G220" t="str">
        <f t="shared" si="10"/>
        <v>West Coast</v>
      </c>
      <c r="H220" t="s">
        <v>310</v>
      </c>
      <c r="I220" t="s">
        <v>265</v>
      </c>
      <c r="J220" t="s">
        <v>1048</v>
      </c>
      <c r="AB220" t="s">
        <v>225</v>
      </c>
    </row>
    <row r="221" spans="1:47" x14ac:dyDescent="0.3">
      <c r="A221" t="s">
        <v>15</v>
      </c>
      <c r="B221" t="str">
        <f>CONCATENATE(C221,D221,E221,Tooltips!B23,F221,A221,H221,I221,$AC$203,J221,K221,L221,$AC$203,M221,P220,Q220,$AC$203,R220,S220,T220,$AC$203,U220,V220,W220,$AC$203,X221,Y221,Z221,$AC$203,AA221,AB221)</f>
        <v>&lt;g opacity="0.25"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266</v>
      </c>
      <c r="D221" s="6">
        <f t="shared" si="9"/>
        <v>0.25</v>
      </c>
      <c r="E221" t="s">
        <v>267</v>
      </c>
      <c r="F221" t="s">
        <v>264</v>
      </c>
      <c r="G221" t="str">
        <f t="shared" si="10"/>
        <v>Whanganui</v>
      </c>
      <c r="H221" t="s">
        <v>311</v>
      </c>
      <c r="I221" t="s">
        <v>265</v>
      </c>
      <c r="J221" t="s">
        <v>1048</v>
      </c>
      <c r="AB221" t="s">
        <v>225</v>
      </c>
    </row>
    <row r="222" spans="1:47" x14ac:dyDescent="0.3">
      <c r="A222" t="s">
        <v>1099</v>
      </c>
      <c r="B222" t="str">
        <f>CONCATENATE(C222,D222,E222,Tooltips!B24,F222,A222,H222,I222,$AC$203,J222,K222,L222,$AC$203,M222,P221,Q221,$AC$203,R221,S221,T221,$AC$203,U221,V221,W221,$AC$203,X222,Y222,Z222,$AC$203,AA222,AB222)</f>
        <v>0.25Managed Isolationgreengreengreengreengreengreen</v>
      </c>
      <c r="D222" s="6">
        <f t="shared" si="9"/>
        <v>0.25</v>
      </c>
    </row>
    <row r="223" spans="1:47" x14ac:dyDescent="0.3">
      <c r="A223" s="3"/>
      <c r="B223" t="str">
        <f>C223</f>
        <v>&lt;/g&gt;</v>
      </c>
      <c r="C223" t="s">
        <v>225</v>
      </c>
      <c r="P223" s="13"/>
      <c r="Q223" s="13"/>
      <c r="R223" s="13"/>
      <c r="S223" s="13"/>
      <c r="T223" s="13"/>
      <c r="U223" s="13"/>
      <c r="V223" s="13"/>
      <c r="W223" s="13"/>
    </row>
    <row r="224" spans="1:47" s="13" customFormat="1" x14ac:dyDescent="0.3">
      <c r="A224" s="14" t="s">
        <v>350</v>
      </c>
      <c r="E224" s="10" t="s">
        <v>456</v>
      </c>
      <c r="F224" t="s">
        <v>341</v>
      </c>
      <c r="G224">
        <v>0.75</v>
      </c>
      <c r="P224"/>
      <c r="Q224"/>
      <c r="R224"/>
      <c r="S224"/>
      <c r="T224"/>
      <c r="U224"/>
      <c r="V224"/>
      <c r="W224"/>
    </row>
    <row r="225" spans="2:8" x14ac:dyDescent="0.3">
      <c r="B225" t="str">
        <f>C225</f>
        <v>&lt;g id="Borders"&gt;</v>
      </c>
      <c r="C225" t="s">
        <v>318</v>
      </c>
    </row>
    <row r="226" spans="2:8" x14ac:dyDescent="0.3">
      <c r="B226" t="str">
        <f>CONCATENATE(,C226,$D$226,$E$226,$F$226,$G$226,$H$226)</f>
        <v>&lt;path d="M385.58,243.3s-.35.18-.89-.36-.74-.26-.63-1.1a8.62,8.62,0,0,0,.15-1.88,5.74,5.74,0,0,1,.09-2,6,6,0,0,0,.43-1.61,8.38,8.38,0,0,1,.26-1.91,3.17,3.17,0,0,1,1.24-2.18"  fill="none" stroke="#191970" stroke-width="0.75"&gt;&lt;/path&gt;</v>
      </c>
      <c r="C226" t="s">
        <v>344</v>
      </c>
      <c r="D226" t="s">
        <v>349</v>
      </c>
      <c r="E226" t="s">
        <v>456</v>
      </c>
      <c r="F226" t="s">
        <v>356</v>
      </c>
      <c r="G226">
        <v>0.75</v>
      </c>
      <c r="H226" t="s">
        <v>342</v>
      </c>
    </row>
    <row r="227" spans="2:8" x14ac:dyDescent="0.3">
      <c r="B227" t="str">
        <f t="shared" ref="B227:B244" si="11">CONCATENATE(,C227,$D$226,$E$226,$F$226,$G$226,$H$226)</f>
        <v>&lt;path d="M397.13,235.31l-.47,1.82a4.33,4.33,0,0,1-.68,1.93,3.56,3.56,0,0,1-1.09,1.16c-.64.43-2.28,1.66-2.28,1.66" fill="none" stroke="#191970" stroke-width="0.75"&gt;&lt;/path&gt;</v>
      </c>
      <c r="C227" t="s">
        <v>343</v>
      </c>
    </row>
    <row r="228" spans="2:8" x14ac:dyDescent="0.3">
      <c r="B228" t="str">
        <f t="shared" si="11"/>
        <v>&lt;path d="M373.42,200.72a14.68,14.68,0,0,0,3.44-2.1,18.32,18.32,0,0,1,2.82-2.3c1.54-1,1.45-.41,2.81-2s4.3-5.21,4.3-5.21"  fill="none" stroke="#191970" stroke-width="0.75"&gt;&lt;/path&gt;</v>
      </c>
      <c r="C228" t="s">
        <v>345</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320</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321</v>
      </c>
    </row>
    <row r="231" spans="2:8" x14ac:dyDescent="0.3">
      <c r="B231" t="str">
        <f t="shared" si="11"/>
        <v>&lt;path d="M524,365.64l-.3,2.07s1.82,4.9,3.64,5.18,1.86,2.05,3.64.28-.14-.84,3.5-1.26,5.12-1.81,5.95-.05a24,24,0,0,1,1.45,3.83c.67,2-.36,3,1.45,4s1.59,2.91,2.25,4.73l2,5.48" fill="none" stroke="#191970" stroke-width="0.75"&gt;&lt;/path&gt;</v>
      </c>
      <c r="C231" t="s">
        <v>346</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322</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323</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324</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324</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325</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326</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327</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347</v>
      </c>
    </row>
    <row r="240" spans="2:8" x14ac:dyDescent="0.3">
      <c r="B240" t="str">
        <f t="shared" si="11"/>
        <v>&lt;path d="M415.59,542.86a10.51,10.51,0,0,1,3.12-.35,32.62,32.62,0,0,0,4.34-.09c1.54-.11,2.23-3.22,5.22-.37" fill="none" stroke="#191970" stroke-width="0.75"&gt;&lt;/path&gt;</v>
      </c>
      <c r="C240" t="s">
        <v>348</v>
      </c>
    </row>
    <row r="241" spans="1:23"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328</v>
      </c>
    </row>
    <row r="242" spans="1:23"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329</v>
      </c>
    </row>
    <row r="243" spans="1:23"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330</v>
      </c>
    </row>
    <row r="244" spans="1:23"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331</v>
      </c>
    </row>
    <row r="245" spans="1:23" x14ac:dyDescent="0.3">
      <c r="B245" t="str">
        <f>C245</f>
        <v>&lt;/g&gt;</v>
      </c>
      <c r="C245" t="s">
        <v>225</v>
      </c>
      <c r="P245" s="13"/>
      <c r="Q245" s="13"/>
      <c r="R245" s="13"/>
      <c r="S245" s="13"/>
      <c r="T245" s="13"/>
      <c r="U245" s="13"/>
      <c r="V245" s="13"/>
      <c r="W245" s="13"/>
    </row>
    <row r="246" spans="1:23" s="13" customFormat="1" x14ac:dyDescent="0.3">
      <c r="A246" s="13" t="s">
        <v>351</v>
      </c>
      <c r="B246" s="13" t="s">
        <v>257</v>
      </c>
      <c r="C246" s="13" t="s">
        <v>257</v>
      </c>
      <c r="E246" t="s">
        <v>341</v>
      </c>
      <c r="P246"/>
      <c r="Q246"/>
      <c r="R246"/>
      <c r="S246"/>
      <c r="T246"/>
      <c r="U246"/>
      <c r="V246"/>
      <c r="W246"/>
    </row>
    <row r="247" spans="1:23" x14ac:dyDescent="0.3">
      <c r="B247" t="str">
        <f>C247</f>
        <v>&lt;g id="Lakes"&gt;</v>
      </c>
      <c r="C247" t="s">
        <v>319</v>
      </c>
    </row>
    <row r="248" spans="1:23"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332</v>
      </c>
      <c r="D248" t="s">
        <v>265</v>
      </c>
      <c r="E248" t="s">
        <v>341</v>
      </c>
      <c r="F248" t="s">
        <v>342</v>
      </c>
    </row>
    <row r="249" spans="1:23"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333</v>
      </c>
    </row>
    <row r="250" spans="1:23"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334</v>
      </c>
    </row>
    <row r="251" spans="1:23" x14ac:dyDescent="0.3">
      <c r="B251" t="str">
        <f t="shared" si="12"/>
        <v>&lt;path d="M67.32,918.87c-.87.94-1.28,1.74-1.72,2.25a6,6,0,0,1-1.31,1.36c-.63.44-.81,1.6-1.37,1.74s-.93.37-1.88-.69-1.53-1.11-2.06-1.73-1-3.92.62-1.68a10.22,10.22,0,0,0,1.82,2.32c.5.25,1,.49,1.23-.1s0-1.34.62-1.68.61.42,1.25.08.28-1.17.89-1.89.83-.27,1.28-.59.69-2,.87-1S68.19,917.94,67.32,918.87Z" fill="#fff"&gt;&lt;/path&gt;</v>
      </c>
      <c r="C251" t="s">
        <v>335</v>
      </c>
    </row>
    <row r="252" spans="1:23"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336</v>
      </c>
    </row>
    <row r="253" spans="1:23"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337</v>
      </c>
    </row>
    <row r="254" spans="1:23" x14ac:dyDescent="0.3">
      <c r="B254" t="str">
        <f t="shared" si="12"/>
        <v>&lt;path d="M82,821.31a1.23,1.23,0,0,1-1.1-1,10.37,10.37,0,0,0-.61-2.1,8.53,8.53,0,0,0-1.09-2.62c-.32-.41-.77-.65-1-1.35s-.07-.85-.07-.85c1.05.62,1.05.62,1.55,1.43a5.12,5.12,0,0,1,1,1.92,10.11,10.11,0,0,1,.79,2.51C81.56,820.19,82.38,821.41,82,821.31Z" fill="#fff"&gt;&lt;/path&gt;</v>
      </c>
      <c r="C254" t="s">
        <v>338</v>
      </c>
    </row>
    <row r="255" spans="1:23"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339</v>
      </c>
    </row>
    <row r="256" spans="1:23"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340</v>
      </c>
    </row>
    <row r="257" spans="1:33" x14ac:dyDescent="0.3">
      <c r="B257" t="str">
        <f>C257</f>
        <v>&lt;/g&gt;</v>
      </c>
      <c r="C257" t="s">
        <v>225</v>
      </c>
    </row>
    <row r="258" spans="1:33" x14ac:dyDescent="0.3">
      <c r="B258" t="s">
        <v>257</v>
      </c>
    </row>
    <row r="260" spans="1:33" x14ac:dyDescent="0.3">
      <c r="D260" t="s">
        <v>512</v>
      </c>
      <c r="J260" t="s">
        <v>233</v>
      </c>
      <c r="P260" s="13"/>
      <c r="Q260" s="13"/>
      <c r="R260" s="13"/>
      <c r="S260" s="13"/>
      <c r="T260" s="13"/>
      <c r="U260" s="13"/>
      <c r="V260" t="s">
        <v>451</v>
      </c>
      <c r="W260" t="s">
        <v>455</v>
      </c>
    </row>
    <row r="261" spans="1:33" s="13" customFormat="1" x14ac:dyDescent="0.3">
      <c r="A261" s="13" t="s">
        <v>353</v>
      </c>
      <c r="P261"/>
      <c r="Q261"/>
      <c r="R261"/>
      <c r="S261"/>
      <c r="T261"/>
      <c r="U261"/>
      <c r="V261" t="s">
        <v>453</v>
      </c>
      <c r="W261" t="s">
        <v>454</v>
      </c>
      <c r="X261"/>
      <c r="Y261" t="s">
        <v>452</v>
      </c>
      <c r="Z261" t="s">
        <v>455</v>
      </c>
      <c r="AC261" t="s">
        <v>451</v>
      </c>
      <c r="AD261" t="s">
        <v>455</v>
      </c>
      <c r="AE261"/>
      <c r="AF261" t="s">
        <v>452</v>
      </c>
      <c r="AG261" t="s">
        <v>455</v>
      </c>
    </row>
    <row r="262" spans="1:33" x14ac:dyDescent="0.3">
      <c r="B262" t="str">
        <f>C262</f>
        <v>&lt;g id="LABELS"&gt;</v>
      </c>
      <c r="C262" t="s">
        <v>224</v>
      </c>
      <c r="J262" t="s">
        <v>513</v>
      </c>
      <c r="Y262" t="s">
        <v>453</v>
      </c>
      <c r="Z262" t="s">
        <v>454</v>
      </c>
      <c r="AC262" t="s">
        <v>453</v>
      </c>
      <c r="AD262" t="s">
        <v>454</v>
      </c>
      <c r="AF262" t="s">
        <v>453</v>
      </c>
      <c r="AG262" t="s">
        <v>454</v>
      </c>
    </row>
    <row r="263" spans="1:33" x14ac:dyDescent="0.3">
      <c r="P263" s="15" t="str">
        <f t="shared" ref="P263:P282" si="13">LEFT(L264,(FIND(" ",L264,1)-1))</f>
        <v>323</v>
      </c>
      <c r="Q263" t="str">
        <f t="shared" ref="Q263:Q282" si="14">MID(L264,FIND(" ",L264,1)+1,256)</f>
        <v>276.79</v>
      </c>
      <c r="V263" s="30">
        <v>470</v>
      </c>
      <c r="W263" s="30">
        <v>150</v>
      </c>
    </row>
    <row r="264" spans="1:33" x14ac:dyDescent="0.3">
      <c r="A264" t="s">
        <v>1</v>
      </c>
      <c r="B264" t="str">
        <f>CONCATENATE($C$264,A264,$D$264,E264," ",F264,$G$264,$H$264,A264,$J$264)</f>
        <v>&lt;g id="Auckland" transform="translate(470 150)"&gt;    &lt;text text-anchor="middle" y="30" class=""&gt;Auckland&lt;/text&gt;&lt;/g&gt;</v>
      </c>
      <c r="C264" t="s">
        <v>228</v>
      </c>
      <c r="D264" t="s">
        <v>229</v>
      </c>
      <c r="E264" s="4">
        <f t="shared" ref="E264:E283" si="15">V263</f>
        <v>470</v>
      </c>
      <c r="F264" s="4">
        <f t="shared" ref="F264:F283" si="16">W263</f>
        <v>150</v>
      </c>
      <c r="G264" t="s">
        <v>231</v>
      </c>
      <c r="H264" t="s">
        <v>232</v>
      </c>
      <c r="I264" t="s">
        <v>1</v>
      </c>
      <c r="J264" t="s">
        <v>233</v>
      </c>
      <c r="K264" t="str">
        <f>Tooltips!B4</f>
        <v>&lt;title&gt;Auckland DHB @Pop = 545640 ,   Confirmed  = 0, new today= 0 ,Active Active cases in MI &amp; Q facilities  ,Recovered 0 ,Deaths 0, &lt;/title&gt;</v>
      </c>
      <c r="L264" t="s">
        <v>230</v>
      </c>
      <c r="P264" s="15" t="str">
        <f t="shared" si="13"/>
        <v>555.83</v>
      </c>
      <c r="Q264" t="str">
        <f t="shared" si="14"/>
        <v>261.02</v>
      </c>
      <c r="V264" s="30">
        <v>545</v>
      </c>
      <c r="W264" s="30">
        <v>230</v>
      </c>
      <c r="X264" s="41" t="s">
        <v>1</v>
      </c>
      <c r="Y264" s="31">
        <v>535</v>
      </c>
      <c r="Z264" s="31">
        <v>180</v>
      </c>
      <c r="AC264" s="30">
        <v>450</v>
      </c>
      <c r="AD264" s="30">
        <v>150</v>
      </c>
      <c r="AE264" s="32" t="s">
        <v>1</v>
      </c>
      <c r="AF264" s="31">
        <v>510</v>
      </c>
      <c r="AG264" s="31">
        <v>180</v>
      </c>
    </row>
    <row r="265" spans="1:33" x14ac:dyDescent="0.3">
      <c r="A265" t="s">
        <v>2</v>
      </c>
      <c r="B265" t="str">
        <f t="shared" ref="B265:B283" si="17">CONCATENATE($C$264,A265,$D$264,E265," ",F265,$G$264,$H$264,A265,$J$264)</f>
        <v>&lt;g id="Bay of Plenty" transform="translate(545 230)"&gt;    &lt;text text-anchor="middle" y="30" class=""&gt;Bay of Plenty&lt;/text&gt;&lt;/g&gt;</v>
      </c>
      <c r="E265" s="4">
        <f t="shared" si="15"/>
        <v>545</v>
      </c>
      <c r="F265" s="4">
        <f t="shared" si="16"/>
        <v>230</v>
      </c>
      <c r="K265" t="str">
        <f>Tooltips!B5</f>
        <v>&lt;title&gt;Bay of Plenty DHB @Pop = 238380 ,   Confirmed  = 0, new today= 0 ,Active 29 ,Recovered 0 ,Deaths 0, &lt;/title&gt;</v>
      </c>
      <c r="L265" t="s">
        <v>234</v>
      </c>
      <c r="P265" s="15" t="str">
        <f t="shared" si="13"/>
        <v>349.06</v>
      </c>
      <c r="Q265" t="str">
        <f t="shared" si="14"/>
        <v>680.71</v>
      </c>
      <c r="V265" s="30">
        <v>349.06</v>
      </c>
      <c r="W265" s="30">
        <v>680.71</v>
      </c>
      <c r="X265" s="41" t="s">
        <v>2</v>
      </c>
      <c r="Y265" s="31">
        <v>610</v>
      </c>
      <c r="Z265" s="30">
        <v>260</v>
      </c>
      <c r="AC265" s="30">
        <v>545</v>
      </c>
      <c r="AD265" s="30">
        <v>261.02</v>
      </c>
      <c r="AE265" s="32" t="s">
        <v>2</v>
      </c>
      <c r="AF265" s="31">
        <v>610</v>
      </c>
      <c r="AG265" s="30">
        <v>290</v>
      </c>
    </row>
    <row r="266" spans="1:33" x14ac:dyDescent="0.3">
      <c r="A266" t="s">
        <v>3</v>
      </c>
      <c r="B266" t="str">
        <f t="shared" si="17"/>
        <v>&lt;g id="Canterbury" transform="translate(349.06 680.71)"&gt;    &lt;text text-anchor="middle" y="30" class=""&gt;Canterbury&lt;/text&gt;&lt;/g&gt;</v>
      </c>
      <c r="E266" s="4">
        <f t="shared" si="15"/>
        <v>349.06</v>
      </c>
      <c r="F266" s="4">
        <f t="shared" si="16"/>
        <v>680.71</v>
      </c>
      <c r="K266" t="str">
        <f>Tooltips!B6</f>
        <v>&lt;title&gt;Canterbury DHB @Pop = 567870 ,   Confirmed  = 0, new today= 0 ,Active 0 ,Recovered 0 ,Deaths 0, &lt;/title&gt;</v>
      </c>
      <c r="L266" t="s">
        <v>235</v>
      </c>
      <c r="P266" s="15" t="str">
        <f t="shared" si="13"/>
        <v>272.99</v>
      </c>
      <c r="Q266" t="str">
        <f t="shared" si="14"/>
        <v>469.5</v>
      </c>
      <c r="V266" s="30">
        <v>350</v>
      </c>
      <c r="W266" s="30">
        <v>500</v>
      </c>
      <c r="X266" s="41" t="s">
        <v>3</v>
      </c>
      <c r="Y266" s="31">
        <v>410</v>
      </c>
      <c r="Z266" s="31">
        <v>710.71</v>
      </c>
      <c r="AC266" s="30">
        <v>349.06</v>
      </c>
      <c r="AD266" s="30">
        <v>680.71</v>
      </c>
      <c r="AE266" s="32" t="s">
        <v>3</v>
      </c>
      <c r="AF266" s="31">
        <v>410</v>
      </c>
      <c r="AG266" s="31">
        <v>710.71</v>
      </c>
    </row>
    <row r="267" spans="1:33" x14ac:dyDescent="0.3">
      <c r="A267" t="s">
        <v>4</v>
      </c>
      <c r="B267" t="str">
        <f t="shared" si="17"/>
        <v>&lt;g id="Capital and Coast" transform="translate(350 500)"&gt;    &lt;text text-anchor="middle" y="30" class=""&gt;Capital and Coast&lt;/text&gt;&lt;/g&gt;</v>
      </c>
      <c r="E267" s="4">
        <f t="shared" si="15"/>
        <v>350</v>
      </c>
      <c r="F267" s="4">
        <f t="shared" si="16"/>
        <v>500</v>
      </c>
      <c r="K267" t="str">
        <f>Tooltips!B7</f>
        <v>&lt;title&gt;Capital and Coast DHB @Pop = 318040 ,   Confirmed  = 0, new today= 0 ,Active 0 ,Recovered 0 ,Deaths 0, &lt;/title&gt;</v>
      </c>
      <c r="L267" t="s">
        <v>236</v>
      </c>
      <c r="P267" s="15" t="str">
        <f t="shared" si="13"/>
        <v>480.28</v>
      </c>
      <c r="Q267" t="str">
        <f t="shared" si="14"/>
        <v>219.19</v>
      </c>
      <c r="V267" s="30">
        <v>320</v>
      </c>
      <c r="W267" s="31">
        <v>250</v>
      </c>
      <c r="X267" s="41" t="s">
        <v>4</v>
      </c>
      <c r="Y267" s="31">
        <v>270</v>
      </c>
      <c r="Z267" s="30">
        <v>530</v>
      </c>
      <c r="AC267" s="30">
        <v>350</v>
      </c>
      <c r="AD267" s="30">
        <v>500</v>
      </c>
      <c r="AE267" s="32" t="s">
        <v>4</v>
      </c>
      <c r="AF267" s="31">
        <v>270</v>
      </c>
      <c r="AG267" s="30">
        <v>530</v>
      </c>
    </row>
    <row r="268" spans="1:33" x14ac:dyDescent="0.3">
      <c r="A268" t="s">
        <v>5</v>
      </c>
      <c r="B268" t="str">
        <f t="shared" si="17"/>
        <v>&lt;g id="Counties Manukau" transform="translate(320 250)"&gt;    &lt;text text-anchor="middle" y="30" class=""&gt;Counties Manukau&lt;/text&gt;&lt;/g&gt;</v>
      </c>
      <c r="E268" s="4">
        <f t="shared" si="15"/>
        <v>320</v>
      </c>
      <c r="F268" s="4">
        <f t="shared" si="16"/>
        <v>250</v>
      </c>
      <c r="K268" t="str">
        <f>Tooltips!B8</f>
        <v>&lt;title&gt;Counties Manukau DHB @Pop = 563210 ,   Confirmed  = Total, new today= 0 ,Active Active ,Recovered Recovered ,Deaths Deceased, &lt;/title&gt;</v>
      </c>
      <c r="L268" t="s">
        <v>237</v>
      </c>
      <c r="P268" s="15" t="str">
        <f t="shared" si="13"/>
        <v>548.78</v>
      </c>
      <c r="Q268" t="str">
        <f t="shared" si="14"/>
        <v>425.51</v>
      </c>
      <c r="V268" s="30">
        <v>570</v>
      </c>
      <c r="W268" s="30">
        <v>400</v>
      </c>
      <c r="X268" s="41" t="s">
        <v>5</v>
      </c>
      <c r="Y268" s="31">
        <v>230</v>
      </c>
      <c r="Z268" s="31">
        <v>280</v>
      </c>
      <c r="AC268" s="30">
        <v>320</v>
      </c>
      <c r="AD268" s="31">
        <v>250</v>
      </c>
      <c r="AE268" s="32" t="s">
        <v>5</v>
      </c>
      <c r="AF268" s="31">
        <v>230</v>
      </c>
      <c r="AG268" s="31">
        <v>280</v>
      </c>
    </row>
    <row r="269" spans="1:33" x14ac:dyDescent="0.3">
      <c r="A269" t="s">
        <v>6</v>
      </c>
      <c r="B269" t="str">
        <f t="shared" si="17"/>
        <v>&lt;g id="Hawke's Bay" transform="translate(570 400)"&gt;    &lt;text text-anchor="middle" y="30" class=""&gt;Hawke's Bay&lt;/text&gt;&lt;/g&gt;</v>
      </c>
      <c r="E269" s="4">
        <f t="shared" si="15"/>
        <v>570</v>
      </c>
      <c r="F269" s="4">
        <f t="shared" si="16"/>
        <v>400</v>
      </c>
      <c r="K269" t="str">
        <f>Tooltips!B9</f>
        <v>&lt;title&gt;Hawke's Bay DHB @Pop = 165610 ,   Confirmed  = 223, new today= 0 ,Active 9 ,Recovered 213 ,Deaths 1, &lt;/title&gt;</v>
      </c>
      <c r="L269" t="s">
        <v>238</v>
      </c>
      <c r="P269" s="15" t="str">
        <f t="shared" si="13"/>
        <v>410.82</v>
      </c>
      <c r="Q269" t="str">
        <f t="shared" si="14"/>
        <v>600.18</v>
      </c>
      <c r="V269" s="30">
        <v>460</v>
      </c>
      <c r="W269" s="30">
        <v>555</v>
      </c>
      <c r="X269" s="41" t="s">
        <v>6</v>
      </c>
      <c r="Y269" s="31">
        <v>640</v>
      </c>
      <c r="Z269" s="31">
        <v>430</v>
      </c>
      <c r="AC269" s="30">
        <v>570</v>
      </c>
      <c r="AD269" s="30">
        <v>400</v>
      </c>
      <c r="AE269" s="32" t="s">
        <v>6</v>
      </c>
      <c r="AF269" s="31">
        <v>640</v>
      </c>
      <c r="AG269" s="31">
        <v>430</v>
      </c>
    </row>
    <row r="270" spans="1:33" x14ac:dyDescent="0.3">
      <c r="A270" t="s">
        <v>12</v>
      </c>
      <c r="B270" t="str">
        <f t="shared" si="17"/>
        <v>&lt;g id="Hutt Valley" transform="translate(460 555)"&gt;    &lt;text text-anchor="middle" y="30" class=""&gt;Hutt Valley&lt;/text&gt;&lt;/g&gt;</v>
      </c>
      <c r="E270" s="4">
        <f t="shared" si="15"/>
        <v>460</v>
      </c>
      <c r="F270" s="4">
        <f t="shared" si="16"/>
        <v>555</v>
      </c>
      <c r="K270" t="str">
        <f>Tooltips!B10</f>
        <v>&lt;title&gt;Hutt Valley DHB @Pop = 149680 ,   Confirmed  = 48, new today= 0 ,Active 0 ,Recovered 48 ,Deaths 0, &lt;/title&gt;</v>
      </c>
      <c r="L270" t="s">
        <v>239</v>
      </c>
      <c r="P270" s="15" t="str">
        <f t="shared" si="13"/>
        <v>448.43</v>
      </c>
      <c r="Q270" t="str">
        <f t="shared" si="14"/>
        <v>375.11</v>
      </c>
      <c r="V270" s="39">
        <v>468.43</v>
      </c>
      <c r="W270" s="39">
        <v>370</v>
      </c>
      <c r="X270" s="41" t="s">
        <v>12</v>
      </c>
      <c r="Y270" s="31">
        <v>520</v>
      </c>
      <c r="Z270" s="31">
        <v>585</v>
      </c>
      <c r="AC270" s="30">
        <v>460</v>
      </c>
      <c r="AD270" s="30">
        <v>555</v>
      </c>
      <c r="AE270" s="32" t="s">
        <v>12</v>
      </c>
      <c r="AF270" s="31">
        <v>520</v>
      </c>
      <c r="AG270" s="31">
        <v>585</v>
      </c>
    </row>
    <row r="271" spans="1:33" x14ac:dyDescent="0.3">
      <c r="A271" t="s">
        <v>16</v>
      </c>
      <c r="B271" t="str">
        <f t="shared" si="17"/>
        <v>&lt;g id="Lakes" transform="translate(468.43 370)"&gt;    &lt;text text-anchor="middle" y="30" class=""&gt;Lakes&lt;/text&gt;&lt;/g&gt;</v>
      </c>
      <c r="E271" s="4">
        <f t="shared" si="15"/>
        <v>468.43</v>
      </c>
      <c r="F271" s="4">
        <f t="shared" si="16"/>
        <v>370</v>
      </c>
      <c r="K271" t="str">
        <f>Tooltips!B11</f>
        <v>&lt;title&gt;Lakes DHB @Pop = 110410 ,   Confirmed  = 164, new today= 0 ,Active 0 ,Recovered 152 ,Deaths 12, &lt;/title&gt;</v>
      </c>
      <c r="L271" t="s">
        <v>240</v>
      </c>
      <c r="P271" s="15" t="str">
        <f t="shared" si="13"/>
        <v>530.2</v>
      </c>
      <c r="Q271" t="str">
        <f t="shared" si="14"/>
        <v>473.26</v>
      </c>
      <c r="V271" s="30">
        <v>530.20000000000005</v>
      </c>
      <c r="W271" s="30">
        <v>490</v>
      </c>
      <c r="X271" s="41" t="s">
        <v>16</v>
      </c>
      <c r="Y271" s="39">
        <v>530</v>
      </c>
      <c r="Z271" s="39">
        <v>370</v>
      </c>
      <c r="AC271" s="39">
        <v>468.43</v>
      </c>
      <c r="AD271" s="39">
        <v>381.11</v>
      </c>
      <c r="AE271" s="38" t="s">
        <v>16</v>
      </c>
      <c r="AF271" s="39">
        <v>530</v>
      </c>
      <c r="AG271" s="39">
        <v>410</v>
      </c>
    </row>
    <row r="272" spans="1:33" x14ac:dyDescent="0.3">
      <c r="A272" t="s">
        <v>13</v>
      </c>
      <c r="B272" t="str">
        <f t="shared" si="17"/>
        <v>&lt;g id="MidCentral" transform="translate(530.2 490)"&gt;    &lt;text text-anchor="middle" y="30" class=""&gt;MidCentral&lt;/text&gt;&lt;/g&gt;</v>
      </c>
      <c r="E272" s="4">
        <f t="shared" si="15"/>
        <v>530.20000000000005</v>
      </c>
      <c r="F272" s="4">
        <f t="shared" si="16"/>
        <v>490</v>
      </c>
      <c r="K272" t="str">
        <f>Tooltips!B12</f>
        <v>&lt;title&gt;MidCentral DHB @Pop = 178820 ,   Confirmed  = 95, new today= 0 ,Active 0 ,Recovered 93 ,Deaths 2, &lt;/title&gt;</v>
      </c>
      <c r="L272" t="s">
        <v>241</v>
      </c>
      <c r="P272" s="15" t="str">
        <f t="shared" si="13"/>
        <v>246.24</v>
      </c>
      <c r="Q272" t="str">
        <f t="shared" si="14"/>
        <v>541.89</v>
      </c>
      <c r="V272" s="30">
        <v>250</v>
      </c>
      <c r="W272" s="30">
        <v>541.89</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7"/>
        <v>&lt;g id="Nelson Marlborough" transform="translate(250 541.89)"&gt;    &lt;text text-anchor="middle" y="30" class=""&gt;Nelson Marlborough&lt;/text&gt;&lt;/g&gt;</v>
      </c>
      <c r="E273" s="4">
        <f t="shared" si="15"/>
        <v>250</v>
      </c>
      <c r="F273" s="4">
        <f t="shared" si="16"/>
        <v>541.89</v>
      </c>
      <c r="K273" t="str">
        <f>Tooltips!B13</f>
        <v>&lt;title&gt;Nelson Marlborough DHB @Pop = 150770 ,   Confirmed  = 213, new today= 0 ,Active 11 ,Recovered 201 ,Deaths 1, &lt;/title&gt;</v>
      </c>
      <c r="L273" t="s">
        <v>242</v>
      </c>
      <c r="P273" s="15" t="str">
        <f t="shared" si="13"/>
        <v>402.4</v>
      </c>
      <c r="Q273" t="str">
        <f t="shared" si="14"/>
        <v>119.64</v>
      </c>
      <c r="V273" s="33">
        <v>260</v>
      </c>
      <c r="W273" s="34">
        <v>119.64</v>
      </c>
      <c r="X273" s="41" t="s">
        <v>7</v>
      </c>
      <c r="Y273" s="31">
        <v>160</v>
      </c>
      <c r="Z273" s="30">
        <v>570</v>
      </c>
      <c r="AC273" s="30">
        <v>250</v>
      </c>
      <c r="AD273" s="30">
        <v>541.89</v>
      </c>
      <c r="AE273" s="32" t="s">
        <v>7</v>
      </c>
      <c r="AF273" s="31">
        <v>160</v>
      </c>
      <c r="AG273" s="30">
        <v>570</v>
      </c>
    </row>
    <row r="274" spans="1:33" x14ac:dyDescent="0.3">
      <c r="A274" t="s">
        <v>17</v>
      </c>
      <c r="B274" t="str">
        <f t="shared" si="17"/>
        <v>&lt;g id="Northland" transform="translate(260 119.64)"&gt;    &lt;text text-anchor="middle" y="30" class=""&gt;Northland&lt;/text&gt;&lt;/g&gt;</v>
      </c>
      <c r="E274" s="4">
        <f t="shared" si="15"/>
        <v>260</v>
      </c>
      <c r="F274" s="4">
        <f t="shared" si="16"/>
        <v>119.64</v>
      </c>
      <c r="K274" t="str">
        <f>Tooltips!B14</f>
        <v>&lt;title&gt;Northland DHB @Pop = 179370 ,   Confirmed  = 44, new today= 0 ,Active 0 ,Recovered 44 ,Deaths 0, &lt;/title&gt;</v>
      </c>
      <c r="L274" t="s">
        <v>243</v>
      </c>
      <c r="P274" s="15" t="str">
        <f t="shared" si="13"/>
        <v>308.14</v>
      </c>
      <c r="Q274" t="str">
        <f t="shared" si="14"/>
        <v>768.18</v>
      </c>
      <c r="V274" s="30">
        <v>308.14</v>
      </c>
      <c r="W274" s="30">
        <v>768.18</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7"/>
        <v>&lt;g id="South Canterbury" transform="translate(308.14 768.18)"&gt;    &lt;text text-anchor="middle" y="30" class=""&gt;South Canterbury&lt;/text&gt;&lt;/g&gt;</v>
      </c>
      <c r="E275" s="4">
        <f t="shared" si="15"/>
        <v>308.14</v>
      </c>
      <c r="F275" s="4">
        <f t="shared" si="16"/>
        <v>768.18</v>
      </c>
      <c r="K275" t="str">
        <f>Tooltips!B15</f>
        <v>&lt;title&gt;South Canterbury DHB @Pop = 60220 ,   Confirmed  = 22, new today= 0 ,Active 0 ,Recovered 22 ,Deaths 0, &lt;/title&gt;</v>
      </c>
      <c r="L275" t="s">
        <v>244</v>
      </c>
      <c r="P275" s="15" t="str">
        <f t="shared" si="13"/>
        <v>121.24</v>
      </c>
      <c r="Q275" t="str">
        <f t="shared" si="14"/>
        <v>905.89</v>
      </c>
      <c r="V275" s="30">
        <v>235</v>
      </c>
      <c r="W275" s="31">
        <v>895.89</v>
      </c>
      <c r="X275" s="41" t="s">
        <v>8</v>
      </c>
      <c r="Y275" s="31">
        <v>385</v>
      </c>
      <c r="Z275" s="31">
        <v>798.18</v>
      </c>
      <c r="AC275" s="30">
        <v>308.14</v>
      </c>
      <c r="AD275" s="30">
        <v>768.18</v>
      </c>
      <c r="AE275" s="32" t="s">
        <v>8</v>
      </c>
      <c r="AF275" s="31">
        <v>385</v>
      </c>
      <c r="AG275" s="31">
        <v>798.18</v>
      </c>
    </row>
    <row r="276" spans="1:33" x14ac:dyDescent="0.3">
      <c r="A276" t="s">
        <v>9</v>
      </c>
      <c r="B276" t="str">
        <f t="shared" si="17"/>
        <v>&lt;g id="Southern" transform="translate(235 895.89)"&gt;    &lt;text text-anchor="middle" y="30" class=""&gt;Southern&lt;/text&gt;&lt;/g&gt;</v>
      </c>
      <c r="E276" s="4">
        <f t="shared" si="15"/>
        <v>235</v>
      </c>
      <c r="F276" s="4">
        <f t="shared" si="16"/>
        <v>895.89</v>
      </c>
      <c r="K276" t="str">
        <f>Tooltips!B16</f>
        <v>&lt;title&gt;Southern DHB @Pop = 329890 ,   Confirmed  = 16, new today= 0 ,Active 0 ,Recovered 16 ,Deaths 0, &lt;/title&gt;</v>
      </c>
      <c r="L276" t="s">
        <v>245</v>
      </c>
      <c r="P276" s="15" t="str">
        <f t="shared" si="13"/>
        <v>570.02</v>
      </c>
      <c r="Q276" t="str">
        <f t="shared" si="14"/>
        <v>363.17</v>
      </c>
      <c r="V276" s="30">
        <v>600</v>
      </c>
      <c r="W276" s="30">
        <v>330</v>
      </c>
      <c r="X276" s="41" t="s">
        <v>9</v>
      </c>
      <c r="Y276" s="31">
        <v>300</v>
      </c>
      <c r="Z276" s="31">
        <v>930</v>
      </c>
      <c r="AC276" s="30">
        <v>235</v>
      </c>
      <c r="AD276" s="31">
        <v>895.89</v>
      </c>
      <c r="AE276" s="32" t="s">
        <v>9</v>
      </c>
      <c r="AF276" s="31">
        <v>300</v>
      </c>
      <c r="AG276" s="31">
        <v>930</v>
      </c>
    </row>
    <row r="277" spans="1:33" x14ac:dyDescent="0.3">
      <c r="A277" t="s">
        <v>206</v>
      </c>
      <c r="B277" t="str">
        <f t="shared" si="17"/>
        <v>&lt;g id="Tairāwhiti" transform="translate(600 330)"&gt;    &lt;text text-anchor="middle" y="30" class=""&gt;Tairāwhiti&lt;/text&gt;&lt;/g&gt;</v>
      </c>
      <c r="E277" s="4">
        <f t="shared" si="15"/>
        <v>600</v>
      </c>
      <c r="F277" s="4">
        <f t="shared" si="16"/>
        <v>330</v>
      </c>
      <c r="K277" t="str">
        <f>Tooltips!B17</f>
        <v>&lt;title&gt;Tairawhiti DHB @Pop = 329890 ,   Confirmed  = 32, new today= 0 ,Active 0 ,Recovered 32 ,Deaths 0, &lt;/title&gt;</v>
      </c>
      <c r="L277" t="s">
        <v>246</v>
      </c>
      <c r="P277" s="15" t="str">
        <f t="shared" si="13"/>
        <v>353.8</v>
      </c>
      <c r="Q277" t="str">
        <f t="shared" si="14"/>
        <v>362.04</v>
      </c>
      <c r="V277" s="30">
        <v>310</v>
      </c>
      <c r="W277" s="31">
        <v>375</v>
      </c>
      <c r="X277" s="41" t="s">
        <v>18</v>
      </c>
      <c r="Y277" s="31">
        <v>650</v>
      </c>
      <c r="Z277" s="31">
        <v>360</v>
      </c>
      <c r="AC277" s="30">
        <v>600</v>
      </c>
      <c r="AD277" s="30">
        <v>330</v>
      </c>
      <c r="AE277" s="32" t="s">
        <v>18</v>
      </c>
      <c r="AF277" s="31">
        <v>650</v>
      </c>
      <c r="AG277" s="31">
        <v>360</v>
      </c>
    </row>
    <row r="278" spans="1:33" x14ac:dyDescent="0.3">
      <c r="A278" t="s">
        <v>14</v>
      </c>
      <c r="B278" t="str">
        <f t="shared" si="17"/>
        <v>&lt;g id="Taranaki" transform="translate(310 375)"&gt;    &lt;text text-anchor="middle" y="30" class=""&gt;Taranaki&lt;/text&gt;&lt;/g&gt;</v>
      </c>
      <c r="E278" s="4">
        <f t="shared" si="15"/>
        <v>310</v>
      </c>
      <c r="F278" s="4">
        <f t="shared" si="16"/>
        <v>375</v>
      </c>
      <c r="K278" t="str">
        <f>Tooltips!B18</f>
        <v>&lt;title&gt;Taranaki DHB @Pop = 120050 ,   Confirmed  = 49, new today= 0 ,Active 0 ,Recovered 49 ,Deaths 0, &lt;/title&gt;</v>
      </c>
      <c r="L278" t="s">
        <v>247</v>
      </c>
      <c r="P278" s="15" t="str">
        <f t="shared" si="13"/>
        <v>350.68</v>
      </c>
      <c r="Q278" t="str">
        <f t="shared" si="14"/>
        <v>309.9</v>
      </c>
      <c r="V278" s="30">
        <v>360</v>
      </c>
      <c r="W278" s="30">
        <v>309.89999999999998</v>
      </c>
      <c r="X278" s="41" t="s">
        <v>14</v>
      </c>
      <c r="Y278" s="31">
        <v>260</v>
      </c>
      <c r="Z278" s="31">
        <v>405</v>
      </c>
      <c r="AC278" s="30">
        <v>310</v>
      </c>
      <c r="AD278" s="31">
        <v>375</v>
      </c>
      <c r="AE278" s="32" t="s">
        <v>14</v>
      </c>
      <c r="AF278" s="31">
        <v>260</v>
      </c>
      <c r="AG278" s="31">
        <v>405</v>
      </c>
    </row>
    <row r="279" spans="1:33" x14ac:dyDescent="0.3">
      <c r="A279" t="s">
        <v>10</v>
      </c>
      <c r="B279" t="str">
        <f t="shared" si="17"/>
        <v>&lt;g id="Waikato" transform="translate(360 309.9)"&gt;    &lt;text text-anchor="middle" y="30" class=""&gt;Waikato&lt;/text&gt;&lt;/g&gt;</v>
      </c>
      <c r="E279" s="4">
        <f t="shared" si="15"/>
        <v>360</v>
      </c>
      <c r="F279" s="4">
        <f t="shared" si="16"/>
        <v>309.89999999999998</v>
      </c>
      <c r="K279" t="str">
        <f>Tooltips!B19</f>
        <v>&lt;title&gt;Waikato DHB @Pop = 419890 ,   Confirmed  = 28, new today= 0 ,Active 0 ,Recovered 28 ,Deaths 0, &lt;/title&gt;</v>
      </c>
      <c r="L279" t="s">
        <v>248</v>
      </c>
      <c r="P279" s="15" t="str">
        <f t="shared" si="13"/>
        <v>518</v>
      </c>
      <c r="Q279" t="str">
        <f t="shared" si="14"/>
        <v>528.12</v>
      </c>
      <c r="V279" s="37">
        <v>500</v>
      </c>
      <c r="W279" s="37">
        <v>525</v>
      </c>
      <c r="X279" s="41" t="s">
        <v>10</v>
      </c>
      <c r="Y279" s="31">
        <v>300</v>
      </c>
      <c r="Z279" s="31">
        <v>339.9</v>
      </c>
      <c r="AC279" s="30">
        <v>360</v>
      </c>
      <c r="AD279" s="30">
        <v>309.89999999999998</v>
      </c>
      <c r="AE279" s="32" t="s">
        <v>10</v>
      </c>
      <c r="AF279" s="31">
        <v>300</v>
      </c>
      <c r="AG279" s="31">
        <v>339.9</v>
      </c>
    </row>
    <row r="280" spans="1:33" x14ac:dyDescent="0.3">
      <c r="A280" t="s">
        <v>20</v>
      </c>
      <c r="B280" t="str">
        <f t="shared" si="17"/>
        <v>&lt;g id="Wairarapa" transform="translate(500 525)"&gt;    &lt;text text-anchor="middle" y="30" class=""&gt;Wairarapa&lt;/text&gt;&lt;/g&gt;</v>
      </c>
      <c r="E280" s="4">
        <f t="shared" si="15"/>
        <v>500</v>
      </c>
      <c r="F280" s="4">
        <f t="shared" si="16"/>
        <v>525</v>
      </c>
      <c r="K280" t="str">
        <f>Tooltips!B20</f>
        <v>&lt;title&gt;Wairarapa DHB @Pop = 44905 ,   Confirmed  = 17, new today= 0 ,Active 0 ,Recovered 17 ,Deaths 0, &lt;/title&gt;</v>
      </c>
      <c r="L280" t="s">
        <v>249</v>
      </c>
      <c r="P280" s="15" t="str">
        <f t="shared" si="13"/>
        <v>436.93</v>
      </c>
      <c r="Q280" t="str">
        <f t="shared" si="14"/>
        <v>179.19</v>
      </c>
      <c r="V280" s="30">
        <v>300</v>
      </c>
      <c r="W280" s="31">
        <v>200</v>
      </c>
      <c r="X280" s="41" t="s">
        <v>20</v>
      </c>
      <c r="Y280" s="39">
        <v>550</v>
      </c>
      <c r="Z280" s="39">
        <v>555</v>
      </c>
      <c r="AC280" s="37">
        <v>500</v>
      </c>
      <c r="AD280" s="37">
        <v>525</v>
      </c>
      <c r="AE280" s="38" t="s">
        <v>20</v>
      </c>
      <c r="AF280" s="39">
        <v>550</v>
      </c>
      <c r="AG280" s="39">
        <v>555</v>
      </c>
    </row>
    <row r="281" spans="1:33" x14ac:dyDescent="0.3">
      <c r="A281" t="s">
        <v>815</v>
      </c>
      <c r="B281" t="str">
        <f t="shared" si="17"/>
        <v>&lt;g id="Waitematā" transform="translate(300 200)"&gt;    &lt;text text-anchor="middle" y="30" class=""&gt;Waitematā&lt;/text&gt;&lt;/g&gt;</v>
      </c>
      <c r="E281" s="4">
        <f t="shared" si="15"/>
        <v>300</v>
      </c>
      <c r="F281" s="4">
        <f t="shared" si="16"/>
        <v>200</v>
      </c>
      <c r="K281" t="str">
        <f>Tooltips!B21</f>
        <v>&lt;title&gt;Waitemata DHB @Pop = 628970 ,   Confirmed  = 216, new today= 0 ,Active 0 ,Recovered 214 ,Deaths 2, &lt;/title&gt;</v>
      </c>
      <c r="L281" t="s">
        <v>250</v>
      </c>
      <c r="P281" s="15" t="str">
        <f t="shared" si="13"/>
        <v>174.07</v>
      </c>
      <c r="Q281" t="str">
        <f t="shared" si="14"/>
        <v>623.96</v>
      </c>
      <c r="V281" s="37">
        <v>174.07</v>
      </c>
      <c r="W281" s="37">
        <v>623.96</v>
      </c>
      <c r="X281" s="41" t="s">
        <v>11</v>
      </c>
      <c r="Y281" s="31">
        <v>230</v>
      </c>
      <c r="Z281" s="31">
        <v>230</v>
      </c>
      <c r="AC281" s="30">
        <v>300</v>
      </c>
      <c r="AD281" s="31">
        <v>200</v>
      </c>
      <c r="AE281" s="32" t="s">
        <v>11</v>
      </c>
      <c r="AF281" s="31">
        <v>240</v>
      </c>
      <c r="AG281" s="31">
        <v>230</v>
      </c>
    </row>
    <row r="282" spans="1:33" x14ac:dyDescent="0.3">
      <c r="A282" t="s">
        <v>19</v>
      </c>
      <c r="B282" t="str">
        <f t="shared" si="17"/>
        <v>&lt;g id="West Coast" transform="translate(174.07 623.96)"&gt;    &lt;text text-anchor="middle" y="30" class=""&gt;West Coast&lt;/text&gt;&lt;/g&gt;</v>
      </c>
      <c r="E282" s="4">
        <f t="shared" si="15"/>
        <v>174.07</v>
      </c>
      <c r="F282" s="4">
        <f t="shared" si="16"/>
        <v>623.96</v>
      </c>
      <c r="K282" t="str">
        <f>Tooltips!B22</f>
        <v>&lt;title&gt;West Coast DHB @Pop = 32410 ,   Confirmed  = 4, new today= 0 ,Active 0 ,Recovered 4 ,Deaths 0, &lt;/title&gt;</v>
      </c>
      <c r="L282" t="s">
        <v>251</v>
      </c>
      <c r="P282" s="15" t="str">
        <f t="shared" si="13"/>
        <v>353.79</v>
      </c>
      <c r="Q282" t="str">
        <f t="shared" si="14"/>
        <v>427.95</v>
      </c>
      <c r="V282" s="37">
        <v>380</v>
      </c>
      <c r="W282" s="37">
        <v>450</v>
      </c>
      <c r="X282" s="41" t="s">
        <v>19</v>
      </c>
      <c r="Y282" s="39">
        <v>123</v>
      </c>
      <c r="Z282" s="37">
        <v>653</v>
      </c>
      <c r="AC282" s="37">
        <v>174.07</v>
      </c>
      <c r="AD282" s="37">
        <v>623.96</v>
      </c>
      <c r="AE282" s="38" t="s">
        <v>19</v>
      </c>
      <c r="AF282" s="39">
        <v>123</v>
      </c>
      <c r="AG282" s="37">
        <v>653</v>
      </c>
    </row>
    <row r="283" spans="1:33" ht="15.75" thickBot="1" x14ac:dyDescent="0.35">
      <c r="A283" t="s">
        <v>15</v>
      </c>
      <c r="B283" t="str">
        <f t="shared" si="17"/>
        <v>&lt;g id="Whanganui" transform="translate(380 450)"&gt;    &lt;text text-anchor="middle" y="30" class=""&gt;Whanganui&lt;/text&gt;&lt;/g&gt;</v>
      </c>
      <c r="E283" s="4">
        <f t="shared" si="15"/>
        <v>380</v>
      </c>
      <c r="F283" s="4">
        <f t="shared" si="16"/>
        <v>450</v>
      </c>
      <c r="K283" t="str">
        <f>Tooltips!B23</f>
        <v>&lt;title&gt;Whanganui DHB @Pop = 64550 ,   Confirmed  = 16, new today= 0 ,Active 0 ,Recovered 16 ,Deaths 0, &lt;/title&gt;</v>
      </c>
      <c r="L283" t="s">
        <v>252</v>
      </c>
      <c r="P283" s="15"/>
      <c r="V283" s="37"/>
      <c r="W283" s="37"/>
      <c r="X283" s="42" t="s">
        <v>15</v>
      </c>
      <c r="Y283" s="39">
        <v>325</v>
      </c>
      <c r="Z283" s="37">
        <v>480</v>
      </c>
      <c r="AC283" s="37">
        <v>380</v>
      </c>
      <c r="AD283" s="37">
        <v>450</v>
      </c>
      <c r="AE283" s="38" t="s">
        <v>15</v>
      </c>
      <c r="AF283" s="39">
        <v>325</v>
      </c>
      <c r="AG283" s="37">
        <v>480</v>
      </c>
    </row>
    <row r="284" spans="1:33" x14ac:dyDescent="0.3">
      <c r="A284" s="3"/>
      <c r="E284" s="4"/>
      <c r="F284" s="4"/>
      <c r="V284" s="15"/>
      <c r="W284" s="15"/>
      <c r="X284" s="41"/>
      <c r="Y284" s="39"/>
      <c r="Z284" s="37"/>
      <c r="AC284" s="37"/>
      <c r="AD284" s="37"/>
      <c r="AE284" s="38"/>
      <c r="AF284" s="39"/>
      <c r="AG284" s="37"/>
    </row>
    <row r="285" spans="1:33" ht="15.75" thickBot="1" x14ac:dyDescent="0.35">
      <c r="B285" t="str">
        <f>C285</f>
        <v>&lt;/g&gt;</v>
      </c>
      <c r="C285" t="s">
        <v>225</v>
      </c>
      <c r="V285" s="15"/>
      <c r="W285" s="15"/>
      <c r="X285" s="15"/>
    </row>
    <row r="286" spans="1:33" ht="15.75" thickBot="1" x14ac:dyDescent="0.35">
      <c r="P286" s="13"/>
      <c r="Q286" s="13"/>
      <c r="R286" s="13"/>
      <c r="S286" s="13"/>
      <c r="T286" s="13"/>
      <c r="U286" s="13"/>
      <c r="V286" s="22" t="s">
        <v>451</v>
      </c>
      <c r="W286" s="23" t="s">
        <v>455</v>
      </c>
      <c r="X286" s="15"/>
    </row>
    <row r="287" spans="1:33" s="13" customFormat="1" x14ac:dyDescent="0.3">
      <c r="A287" s="14" t="s">
        <v>354</v>
      </c>
      <c r="G287" s="13" t="s">
        <v>254</v>
      </c>
      <c r="H287" s="13" t="s">
        <v>255</v>
      </c>
      <c r="J287" s="10"/>
      <c r="L287" s="13">
        <v>0.125</v>
      </c>
      <c r="P287"/>
      <c r="Q287"/>
      <c r="R287"/>
      <c r="S287"/>
      <c r="T287"/>
      <c r="U287"/>
      <c r="V287" s="24" t="s">
        <v>453</v>
      </c>
      <c r="W287" s="25" t="s">
        <v>454</v>
      </c>
      <c r="X287" s="23"/>
      <c r="Y287" s="16" t="s">
        <v>452</v>
      </c>
      <c r="Z287" s="17" t="s">
        <v>455</v>
      </c>
    </row>
    <row r="288" spans="1:33" x14ac:dyDescent="0.3">
      <c r="B288" t="str">
        <f>C288</f>
        <v>&lt;g id="DOTS"&gt;</v>
      </c>
      <c r="C288" t="s">
        <v>226</v>
      </c>
      <c r="J288" s="10"/>
      <c r="P288" t="s">
        <v>233</v>
      </c>
      <c r="R288" t="s">
        <v>416</v>
      </c>
      <c r="S288" t="s">
        <v>417</v>
      </c>
      <c r="V288" s="24" t="s">
        <v>376</v>
      </c>
      <c r="W288" s="25" t="s">
        <v>377</v>
      </c>
      <c r="X288" s="25"/>
      <c r="Y288" s="18" t="s">
        <v>453</v>
      </c>
      <c r="Z288" s="19" t="s">
        <v>454</v>
      </c>
    </row>
    <row r="289" spans="1:26" x14ac:dyDescent="0.3">
      <c r="A289" t="s">
        <v>1</v>
      </c>
      <c r="B289" t="str">
        <f>CONCATENATE($C$289,A289,$D$289,E289," ",F289,$G$289,Tooltips!B4,$H$289,I289,$J$289,K289,$L$289,M289,$P$288)</f>
        <v>&lt;g   id="Auckland" transform="translate(535 180)"&gt;&lt;title&gt;Auckland DHB @Pop = 545640 ,   Confirmed  = 0, new today= 0 ,Active Active cases in MI &amp; Q facilities  ,Recovered 0 ,Deaths 0, &lt;/title&gt;        &lt;circle r="12.5" cy="-7" fill="orange" &gt;&lt;/circle&gt; &lt;text text-anchor="middle"&gt;0&lt;/text&gt;&lt;/g&gt;</v>
      </c>
      <c r="C289" t="s">
        <v>541</v>
      </c>
      <c r="D289" t="s">
        <v>229</v>
      </c>
      <c r="E289" s="4">
        <f t="shared" ref="E289:F295" si="18">Y264</f>
        <v>535</v>
      </c>
      <c r="F289" s="4">
        <f t="shared" si="18"/>
        <v>180</v>
      </c>
      <c r="G289" t="s">
        <v>231</v>
      </c>
      <c r="H289" t="s">
        <v>253</v>
      </c>
      <c r="I289">
        <f>$L$287*M289+12.5</f>
        <v>12.5</v>
      </c>
      <c r="J289" t="s">
        <v>365</v>
      </c>
      <c r="K289" t="s">
        <v>366</v>
      </c>
      <c r="L289" t="s">
        <v>544</v>
      </c>
      <c r="M289" s="6">
        <f t="shared" ref="M289:M308" si="19">VLOOKUP($A289,$P$158:$W$176,8)</f>
        <v>0</v>
      </c>
      <c r="N289" s="6">
        <f t="shared" ref="N289:N308" si="20">VLOOKUP($A289,$P$158:$V$176,2)</f>
        <v>9</v>
      </c>
      <c r="O289" s="6">
        <f t="shared" ref="O289:O308" si="21">VLOOKUP($A289,$P$158:$V$176,3)</f>
        <v>213</v>
      </c>
      <c r="R289" t="s">
        <v>418</v>
      </c>
      <c r="S289" t="s">
        <v>419</v>
      </c>
      <c r="V289" s="24" t="s">
        <v>378</v>
      </c>
      <c r="W289" s="25" t="s">
        <v>379</v>
      </c>
      <c r="X289" s="28" t="s">
        <v>1</v>
      </c>
      <c r="Y289" s="18" t="s">
        <v>416</v>
      </c>
      <c r="Z289" s="19" t="s">
        <v>417</v>
      </c>
    </row>
    <row r="290" spans="1:26" x14ac:dyDescent="0.3">
      <c r="A290" t="s">
        <v>2</v>
      </c>
      <c r="B290" t="str">
        <f>CONCATENATE($C$289,A290,$D$289,E290," ",F290,$G$289,Tooltips!B5,$H$289,I290,$J$289,K290,$L$289,M290,$P$288)</f>
        <v>&lt;g   id="Bay of Plenty" transform="translate(610 260)"&gt;&lt;title&gt;Bay of Plenty DHB @Pop = 238380 ,   Confirmed  = 0, new today= 0 ,Active 29 ,Recovered 0 ,Deaths 0, &lt;/title&gt;        &lt;circle r="12.5" cy="-7" fill="orange" &gt;&lt;/circle&gt; &lt;text text-anchor="middle"&gt;0&lt;/text&gt;&lt;/g&gt;</v>
      </c>
      <c r="E290" s="4">
        <f t="shared" si="18"/>
        <v>610</v>
      </c>
      <c r="F290" s="4">
        <f t="shared" si="18"/>
        <v>260</v>
      </c>
      <c r="I290">
        <f t="shared" ref="I290:I308" si="22">$L$287*M290+12.5</f>
        <v>12.5</v>
      </c>
      <c r="K290" t="s">
        <v>366</v>
      </c>
      <c r="M290" s="6">
        <f t="shared" si="19"/>
        <v>0</v>
      </c>
      <c r="N290" s="6">
        <f t="shared" si="20"/>
        <v>0</v>
      </c>
      <c r="O290" s="6">
        <f t="shared" si="21"/>
        <v>48</v>
      </c>
      <c r="R290" t="s">
        <v>420</v>
      </c>
      <c r="S290" t="s">
        <v>421</v>
      </c>
      <c r="V290" s="24" t="s">
        <v>380</v>
      </c>
      <c r="W290" s="25" t="s">
        <v>381</v>
      </c>
      <c r="X290" s="28" t="s">
        <v>2</v>
      </c>
      <c r="Y290" s="18" t="s">
        <v>418</v>
      </c>
      <c r="Z290" s="19" t="s">
        <v>419</v>
      </c>
    </row>
    <row r="291" spans="1:26" x14ac:dyDescent="0.3">
      <c r="A291" t="s">
        <v>3</v>
      </c>
      <c r="B291" t="str">
        <f>CONCATENATE($C$289,A291,$D$289,E291," ",F291,$G$289,Tooltips!B6,$H$289,I291,$J$289,K291,$L$289,M291,$P$288)</f>
        <v>&lt;g   id="Canterbury" transform="translate(410 710.71)"&gt;&lt;title&gt;Canterbury DHB @Pop = 567870 ,   Confirmed  = 0, new today= 0 ,Active 0 ,Recovered 0 ,Deaths 0, &lt;/title&gt;        &lt;circle r="12.5" cy="-7" fill="orange" &gt;&lt;/circle&gt; &lt;text text-anchor="middle"&gt;0&lt;/text&gt;&lt;/g&gt;</v>
      </c>
      <c r="E291" s="4">
        <f t="shared" si="18"/>
        <v>410</v>
      </c>
      <c r="F291" s="4">
        <f t="shared" si="18"/>
        <v>710.71</v>
      </c>
      <c r="I291">
        <f t="shared" si="22"/>
        <v>12.5</v>
      </c>
      <c r="K291" t="s">
        <v>366</v>
      </c>
      <c r="M291" s="6">
        <f t="shared" si="19"/>
        <v>0</v>
      </c>
      <c r="N291" s="6">
        <f t="shared" si="20"/>
        <v>0</v>
      </c>
      <c r="O291" s="6">
        <f t="shared" si="21"/>
        <v>152</v>
      </c>
      <c r="R291" t="s">
        <v>422</v>
      </c>
      <c r="S291" t="s">
        <v>423</v>
      </c>
      <c r="V291" s="24" t="s">
        <v>382</v>
      </c>
      <c r="W291" s="25" t="s">
        <v>383</v>
      </c>
      <c r="X291" s="28" t="s">
        <v>3</v>
      </c>
      <c r="Y291" s="18" t="s">
        <v>420</v>
      </c>
      <c r="Z291" s="19" t="s">
        <v>421</v>
      </c>
    </row>
    <row r="292" spans="1:26" x14ac:dyDescent="0.3">
      <c r="A292" t="s">
        <v>4</v>
      </c>
      <c r="B292" t="str">
        <f>CONCATENATE($C$289,A292,$D$289,E292," ",F292,$G$289,Tooltips!B7,$H$289,I292,$J$289,K292,$L$289,M292,$P$288)</f>
        <v>&lt;g   id="Capital and Coast" transform="translate(270 530)"&gt;&lt;title&gt;Capital and Coast DHB @Pop = 318040 ,   Confirmed  = 0, new today= 0 ,Active 0 ,Recovered 0 ,Deaths 0, &lt;/title&gt;        &lt;circle r="12.5" cy="-7" fill="orange" &gt;&lt;/circle&gt; &lt;text text-anchor="middle"&gt;0&lt;/text&gt;&lt;/g&gt;</v>
      </c>
      <c r="E292" s="4">
        <f t="shared" si="18"/>
        <v>270</v>
      </c>
      <c r="F292" s="4">
        <f t="shared" si="18"/>
        <v>530</v>
      </c>
      <c r="I292">
        <f t="shared" si="22"/>
        <v>12.5</v>
      </c>
      <c r="K292" t="s">
        <v>366</v>
      </c>
      <c r="M292" s="6">
        <f t="shared" si="19"/>
        <v>0</v>
      </c>
      <c r="N292" s="6">
        <f t="shared" si="20"/>
        <v>0</v>
      </c>
      <c r="O292" s="6">
        <f t="shared" si="21"/>
        <v>93</v>
      </c>
      <c r="R292" t="s">
        <v>424</v>
      </c>
      <c r="S292" t="s">
        <v>425</v>
      </c>
      <c r="V292" s="24" t="s">
        <v>384</v>
      </c>
      <c r="W292" s="25" t="s">
        <v>385</v>
      </c>
      <c r="X292" s="28" t="s">
        <v>4</v>
      </c>
      <c r="Y292" s="18" t="s">
        <v>422</v>
      </c>
      <c r="Z292" s="19" t="s">
        <v>423</v>
      </c>
    </row>
    <row r="293" spans="1:26" x14ac:dyDescent="0.3">
      <c r="A293" t="s">
        <v>5</v>
      </c>
      <c r="B293" t="str">
        <f>CONCATENATE($C$289,A293,$D$289,E293," ",F293,$G$289,Tooltips!B8,$H$289,I293,$J$289,K293,$L$289,M293,$P$288)</f>
        <v>&lt;g   id="Counties Manukau" transform="translate(230 280)"&gt;&lt;title&gt;Counties Manukau DHB @Pop = 563210 ,   Confirmed  = Total, new today= 0 ,Active Active ,Recovered Recovered ,Deaths Deceased, &lt;/title&gt;        &lt;circle r="12.5" cy="-7" fill="orange" &gt;&lt;/circle&gt; &lt;text text-anchor="middle"&gt;0&lt;/text&gt;&lt;/g&gt;</v>
      </c>
      <c r="E293" s="4">
        <f t="shared" si="18"/>
        <v>230</v>
      </c>
      <c r="F293" s="4">
        <f t="shared" si="18"/>
        <v>280</v>
      </c>
      <c r="I293">
        <f t="shared" si="22"/>
        <v>12.5</v>
      </c>
      <c r="K293" t="s">
        <v>366</v>
      </c>
      <c r="M293" s="6">
        <f t="shared" si="19"/>
        <v>0</v>
      </c>
      <c r="N293" s="6">
        <f t="shared" si="20"/>
        <v>11</v>
      </c>
      <c r="O293" s="6">
        <f t="shared" si="21"/>
        <v>201</v>
      </c>
      <c r="R293" t="s">
        <v>426</v>
      </c>
      <c r="S293" t="s">
        <v>427</v>
      </c>
      <c r="V293" s="24" t="s">
        <v>386</v>
      </c>
      <c r="W293" s="25" t="s">
        <v>387</v>
      </c>
      <c r="X293" s="28" t="s">
        <v>5</v>
      </c>
      <c r="Y293" s="18" t="s">
        <v>424</v>
      </c>
      <c r="Z293" s="19" t="s">
        <v>425</v>
      </c>
    </row>
    <row r="294" spans="1:26" x14ac:dyDescent="0.3">
      <c r="A294" t="s">
        <v>6</v>
      </c>
      <c r="B294" t="str">
        <f>CONCATENATE($C$289,A294,$D$289,E294," ",F294,$G$289,Tooltips!B9,$H$289,I294,$J$289,K294,$L$289,M294,$P$288)</f>
        <v>&lt;g   id="Hawke's Bay" transform="translate(640 430)"&gt;&lt;title&gt;Hawke's Bay DHB @Pop = 165610 ,   Confirmed  = 223, new today= 0 ,Active 9 ,Recovered 213 ,Deaths 1, &lt;/title&gt;        &lt;circle r="12.5" cy="-7" fill="orange" &gt;&lt;/circle&gt; &lt;text text-anchor="middle"&gt;0&lt;/text&gt;&lt;/g&gt;</v>
      </c>
      <c r="E294" s="4">
        <f t="shared" si="18"/>
        <v>640</v>
      </c>
      <c r="F294" s="4">
        <f t="shared" si="18"/>
        <v>430</v>
      </c>
      <c r="I294">
        <f t="shared" si="22"/>
        <v>12.5</v>
      </c>
      <c r="K294" t="s">
        <v>366</v>
      </c>
      <c r="M294" s="6">
        <f t="shared" si="19"/>
        <v>0</v>
      </c>
      <c r="N294" s="6">
        <f t="shared" si="20"/>
        <v>0</v>
      </c>
      <c r="O294" s="6">
        <f t="shared" si="21"/>
        <v>44</v>
      </c>
      <c r="R294" t="s">
        <v>388</v>
      </c>
      <c r="S294" t="s">
        <v>389</v>
      </c>
      <c r="V294" s="24" t="s">
        <v>388</v>
      </c>
      <c r="W294" s="25" t="s">
        <v>389</v>
      </c>
      <c r="X294" s="28" t="s">
        <v>6</v>
      </c>
      <c r="Y294" s="18" t="s">
        <v>426</v>
      </c>
      <c r="Z294" s="19" t="s">
        <v>427</v>
      </c>
    </row>
    <row r="295" spans="1:26" x14ac:dyDescent="0.3">
      <c r="A295" t="s">
        <v>12</v>
      </c>
      <c r="B295" t="str">
        <f>CONCATENATE($C$289,A295,$D$289,E295," ",F295,$G$289,Tooltips!B10,$H$289,I295,$J$289,K295,$L$289,M295,$P$288)</f>
        <v>&lt;g   id="Hutt Valley" transform="translate(520 585)"&gt;&lt;title&gt;Hutt Valley DHB @Pop = 149680 ,   Confirmed  = 48, new today= 0 ,Active 0 ,Recovered 48 ,Deaths 0, &lt;/title&gt;        &lt;circle r="12.5" cy="-7" fill="orange" &gt;&lt;/circle&gt; &lt;text text-anchor="middle"&gt;0&lt;/text&gt;&lt;/g&gt;</v>
      </c>
      <c r="E295" s="4">
        <f t="shared" si="18"/>
        <v>520</v>
      </c>
      <c r="F295" s="4">
        <f t="shared" si="18"/>
        <v>585</v>
      </c>
      <c r="I295">
        <f t="shared" si="22"/>
        <v>12.5</v>
      </c>
      <c r="K295" t="s">
        <v>366</v>
      </c>
      <c r="M295" s="6">
        <f t="shared" si="19"/>
        <v>0</v>
      </c>
      <c r="N295" s="6">
        <f t="shared" si="20"/>
        <v>0</v>
      </c>
      <c r="O295" s="6">
        <f t="shared" si="21"/>
        <v>22</v>
      </c>
      <c r="R295" t="s">
        <v>428</v>
      </c>
      <c r="S295" t="s">
        <v>429</v>
      </c>
      <c r="V295" s="24" t="s">
        <v>390</v>
      </c>
      <c r="W295" s="25" t="s">
        <v>391</v>
      </c>
      <c r="X295" s="28" t="s">
        <v>12</v>
      </c>
      <c r="Y295" s="18" t="s">
        <v>388</v>
      </c>
      <c r="Z295" s="19" t="s">
        <v>389</v>
      </c>
    </row>
    <row r="296" spans="1:26" x14ac:dyDescent="0.3">
      <c r="A296" t="s">
        <v>16</v>
      </c>
      <c r="B296" t="str">
        <f>CONCATENATE($C$289,A296,$D$289,E296," ",F296,$G$289,Tooltips!B11,$H$289,I296,$J$289,K296,$L$289,M296,$P$288)</f>
        <v>&lt;g   id="Lakes" transform="translate(468.43 370)"&gt;&lt;title&gt;Lakes DHB @Pop = 110410 ,   Confirmed  = 164, new today= 0 ,Active 0 ,Recovered 152 ,Deaths 12, &lt;/title&gt;        &lt;circle r="12.5" cy="-7" fill="orange" &gt;&lt;/circle&gt; &lt;text text-anchor="middle"&gt;0&lt;/text&gt;&lt;/g&gt;</v>
      </c>
      <c r="E296" s="4">
        <f>V270</f>
        <v>468.43</v>
      </c>
      <c r="F296" s="4">
        <f>W270</f>
        <v>370</v>
      </c>
      <c r="I296">
        <f t="shared" si="22"/>
        <v>12.5</v>
      </c>
      <c r="K296" t="s">
        <v>366</v>
      </c>
      <c r="M296" s="6">
        <f t="shared" si="19"/>
        <v>0</v>
      </c>
      <c r="N296" s="6">
        <f t="shared" si="20"/>
        <v>0</v>
      </c>
      <c r="O296" s="6">
        <f t="shared" si="21"/>
        <v>16</v>
      </c>
      <c r="R296" t="s">
        <v>430</v>
      </c>
      <c r="S296" t="s">
        <v>431</v>
      </c>
      <c r="V296" s="24" t="s">
        <v>392</v>
      </c>
      <c r="W296" s="25" t="s">
        <v>393</v>
      </c>
      <c r="X296" s="28" t="s">
        <v>16</v>
      </c>
      <c r="Y296" s="18" t="s">
        <v>428</v>
      </c>
      <c r="Z296" s="19" t="s">
        <v>429</v>
      </c>
    </row>
    <row r="297" spans="1:26" x14ac:dyDescent="0.3">
      <c r="A297" t="s">
        <v>13</v>
      </c>
      <c r="B297" t="str">
        <f>CONCATENATE($C$289,A297,$D$289,E297," ",F297,$G$289,Tooltips!B12,$H$289,I297,$J$289,K297,$L$289,M297,$P$288)</f>
        <v>&lt;g   id="MidCentral" transform="translate(590 520)"&gt;&lt;title&gt;MidCentral DHB @Pop = 178820 ,   Confirmed  = 95, new today= 0 ,Active 0 ,Recovered 93 ,Deaths 2, &lt;/title&gt;        &lt;circle r="12.5" cy="-7" fill="orange" &gt;&lt;/circle&gt; &lt;text text-anchor="middle"&gt;0&lt;/text&gt;&lt;/g&gt;</v>
      </c>
      <c r="E297" s="4">
        <f t="shared" ref="E297:E308" si="23">Y272</f>
        <v>590</v>
      </c>
      <c r="F297" s="4">
        <f t="shared" ref="F297:F308" si="24">Z272</f>
        <v>520</v>
      </c>
      <c r="I297">
        <f t="shared" si="22"/>
        <v>12.5</v>
      </c>
      <c r="K297" t="s">
        <v>366</v>
      </c>
      <c r="M297" s="6">
        <f t="shared" si="19"/>
        <v>0</v>
      </c>
      <c r="N297" s="6">
        <f t="shared" si="20"/>
        <v>0</v>
      </c>
      <c r="O297" s="6">
        <f t="shared" si="21"/>
        <v>32</v>
      </c>
      <c r="R297" t="s">
        <v>432</v>
      </c>
      <c r="S297" t="s">
        <v>433</v>
      </c>
      <c r="V297" s="24" t="s">
        <v>394</v>
      </c>
      <c r="W297" s="25" t="s">
        <v>395</v>
      </c>
      <c r="X297" s="28" t="s">
        <v>13</v>
      </c>
      <c r="Y297" s="18" t="s">
        <v>430</v>
      </c>
      <c r="Z297" s="19" t="s">
        <v>431</v>
      </c>
    </row>
    <row r="298" spans="1:26" x14ac:dyDescent="0.3">
      <c r="A298" t="s">
        <v>7</v>
      </c>
      <c r="B298" t="str">
        <f>CONCATENATE($C$289,A298,$D$289,E298," ",F298,$G$289,Tooltips!B13,$H$289,I298,$J$289,K298,$L$289,M298,$P$288)</f>
        <v>&lt;g   id="Nelson Marlborough" transform="translate(160 570)"&gt;&lt;title&gt;Nelson Marlborough DHB @Pop = 150770 ,   Confirmed  = 213, new today= 0 ,Active 11 ,Recovered 201 ,Deaths 1, &lt;/title&gt;        &lt;circle r="12.5" cy="-7" fill="orange" &gt;&lt;/circle&gt; &lt;text text-anchor="middle"&gt;0&lt;/text&gt;&lt;/g&gt;</v>
      </c>
      <c r="E298" s="4">
        <f t="shared" si="23"/>
        <v>160</v>
      </c>
      <c r="F298" s="4">
        <f t="shared" si="24"/>
        <v>570</v>
      </c>
      <c r="I298">
        <f t="shared" si="22"/>
        <v>12.5</v>
      </c>
      <c r="K298" t="s">
        <v>366</v>
      </c>
      <c r="M298" s="6">
        <f t="shared" si="19"/>
        <v>0</v>
      </c>
      <c r="N298" s="6">
        <f t="shared" si="20"/>
        <v>0</v>
      </c>
      <c r="O298" s="6">
        <f t="shared" si="21"/>
        <v>49</v>
      </c>
      <c r="R298" t="s">
        <v>434</v>
      </c>
      <c r="S298" t="s">
        <v>435</v>
      </c>
      <c r="V298" s="24" t="s">
        <v>396</v>
      </c>
      <c r="W298" s="25" t="s">
        <v>397</v>
      </c>
      <c r="X298" s="28" t="s">
        <v>7</v>
      </c>
      <c r="Y298" s="18" t="s">
        <v>432</v>
      </c>
      <c r="Z298" s="19" t="s">
        <v>433</v>
      </c>
    </row>
    <row r="299" spans="1:26" x14ac:dyDescent="0.3">
      <c r="A299" t="s">
        <v>17</v>
      </c>
      <c r="B299" t="str">
        <f>CONCATENATE($C$289,A299,$D$289,E299," ",F299,$G$289,Tooltips!B14,$H$289,I299,$J$289,K299,$L$289,M299,$P$288)</f>
        <v>&lt;g   id="Northland" transform="translate(210 149.64)"&gt;&lt;title&gt;Northland DHB @Pop = 179370 ,   Confirmed  = 44, new today= 0 ,Active 0 ,Recovered 44 ,Deaths 0, &lt;/title&gt;        &lt;circle r="12.5" cy="-7" fill="orange" &gt;&lt;/circle&gt; &lt;text text-anchor="middle"&gt;0&lt;/text&gt;&lt;/g&gt;</v>
      </c>
      <c r="E299" s="4">
        <f t="shared" si="23"/>
        <v>210</v>
      </c>
      <c r="F299" s="4">
        <f t="shared" si="24"/>
        <v>149.63999999999999</v>
      </c>
      <c r="I299">
        <f t="shared" si="22"/>
        <v>12.5</v>
      </c>
      <c r="K299" t="s">
        <v>366</v>
      </c>
      <c r="M299" s="6">
        <f t="shared" si="19"/>
        <v>0</v>
      </c>
      <c r="N299" s="6">
        <f t="shared" si="20"/>
        <v>0</v>
      </c>
      <c r="O299" s="6">
        <f t="shared" si="21"/>
        <v>28</v>
      </c>
      <c r="R299" t="s">
        <v>436</v>
      </c>
      <c r="S299" t="s">
        <v>437</v>
      </c>
      <c r="V299" s="24" t="s">
        <v>398</v>
      </c>
      <c r="W299" s="25" t="s">
        <v>399</v>
      </c>
      <c r="X299" s="28" t="s">
        <v>17</v>
      </c>
      <c r="Y299" s="18" t="s">
        <v>434</v>
      </c>
      <c r="Z299" s="19" t="s">
        <v>435</v>
      </c>
    </row>
    <row r="300" spans="1:26" x14ac:dyDescent="0.3">
      <c r="A300" t="s">
        <v>8</v>
      </c>
      <c r="B300" t="str">
        <f>CONCATENATE($C$289,A300,$D$289,E300," ",F300,$G$289,Tooltips!B15,$H$289,I300,$J$289,K300,$L$289,M300,$P$288)</f>
        <v>&lt;g   id="South Canterbury" transform="translate(385 798.18)"&gt;&lt;title&gt;South Canterbury DHB @Pop = 60220 ,   Confirmed  = 22, new today= 0 ,Active 0 ,Recovered 22 ,Deaths 0, &lt;/title&gt;        &lt;circle r="12.5" cy="-7" fill="orange" &gt;&lt;/circle&gt; &lt;text text-anchor="middle"&gt;0&lt;/text&gt;&lt;/g&gt;</v>
      </c>
      <c r="E300" s="4">
        <f t="shared" si="23"/>
        <v>385</v>
      </c>
      <c r="F300" s="4">
        <f t="shared" si="24"/>
        <v>798.18</v>
      </c>
      <c r="I300">
        <f t="shared" si="22"/>
        <v>12.5</v>
      </c>
      <c r="K300" t="s">
        <v>366</v>
      </c>
      <c r="M300" s="6">
        <f t="shared" si="19"/>
        <v>0</v>
      </c>
      <c r="N300" s="6">
        <f t="shared" si="20"/>
        <v>0</v>
      </c>
      <c r="O300" s="6">
        <f t="shared" si="21"/>
        <v>17</v>
      </c>
      <c r="R300" t="s">
        <v>438</v>
      </c>
      <c r="S300" t="s">
        <v>439</v>
      </c>
      <c r="V300" s="24" t="s">
        <v>400</v>
      </c>
      <c r="W300" s="25" t="s">
        <v>401</v>
      </c>
      <c r="X300" s="28" t="s">
        <v>8</v>
      </c>
      <c r="Y300" s="18" t="s">
        <v>436</v>
      </c>
      <c r="Z300" s="19" t="s">
        <v>437</v>
      </c>
    </row>
    <row r="301" spans="1:26" x14ac:dyDescent="0.3">
      <c r="A301" t="s">
        <v>9</v>
      </c>
      <c r="B301" t="str">
        <f>CONCATENATE($C$289,A301,$D$289,E301," ",F301,$G$289,Tooltips!B16,$H$289,I301,$J$289,K301,$L$289,M301,$P$288)</f>
        <v>&lt;g   id="Southern" transform="translate(300 930)"&gt;&lt;title&gt;Southern DHB @Pop = 329890 ,   Confirmed  = 16, new today= 0 ,Active 0 ,Recovered 16 ,Deaths 0, &lt;/title&gt;        &lt;circle r="12.5" cy="-7" fill="orange" &gt;&lt;/circle&gt; &lt;text text-anchor="middle"&gt;0&lt;/text&gt;&lt;/g&gt;</v>
      </c>
      <c r="E301" s="4">
        <f t="shared" si="23"/>
        <v>300</v>
      </c>
      <c r="F301" s="4">
        <f t="shared" si="24"/>
        <v>930</v>
      </c>
      <c r="I301">
        <f t="shared" si="22"/>
        <v>12.5</v>
      </c>
      <c r="K301" t="s">
        <v>366</v>
      </c>
      <c r="M301" s="6">
        <f t="shared" si="19"/>
        <v>0</v>
      </c>
      <c r="N301" s="6">
        <f t="shared" si="20"/>
        <v>0</v>
      </c>
      <c r="O301" s="6">
        <f t="shared" si="21"/>
        <v>214</v>
      </c>
      <c r="R301" t="s">
        <v>402</v>
      </c>
      <c r="S301" t="s">
        <v>403</v>
      </c>
      <c r="V301" s="24" t="s">
        <v>402</v>
      </c>
      <c r="W301" s="25" t="s">
        <v>403</v>
      </c>
      <c r="X301" s="28" t="s">
        <v>9</v>
      </c>
      <c r="Y301" s="18" t="s">
        <v>438</v>
      </c>
      <c r="Z301" s="19" t="s">
        <v>439</v>
      </c>
    </row>
    <row r="302" spans="1:26" x14ac:dyDescent="0.3">
      <c r="A302" t="s">
        <v>206</v>
      </c>
      <c r="B302" t="str">
        <f>CONCATENATE($C$289,A302,$D$289,E302," ",F302,$G$289,Tooltips!B17,$H$289,I302,$J$289,K302,$L$289,M302,$P$288)</f>
        <v>&lt;g   id="Tairāwhiti" transform="translate(650 360)"&gt;&lt;title&gt;Tairawhiti DHB @Pop = 329890 ,   Confirmed  = 32, new today= 0 ,Active 0 ,Recovered 32 ,Deaths 0, &lt;/title&gt;        &lt;circle r="12.5" cy="-7" fill="orange" &gt;&lt;/circle&gt; &lt;text text-anchor="middle"&gt;0&lt;/text&gt;&lt;/g&gt;</v>
      </c>
      <c r="E302" s="4">
        <f t="shared" si="23"/>
        <v>650</v>
      </c>
      <c r="F302" s="4">
        <f t="shared" si="24"/>
        <v>360</v>
      </c>
      <c r="I302">
        <f t="shared" si="22"/>
        <v>12.5</v>
      </c>
      <c r="K302" t="s">
        <v>366</v>
      </c>
      <c r="M302" s="6">
        <f t="shared" si="19"/>
        <v>0</v>
      </c>
      <c r="N302" s="6">
        <f t="shared" si="20"/>
        <v>0</v>
      </c>
      <c r="O302" s="6">
        <f t="shared" si="21"/>
        <v>4</v>
      </c>
      <c r="R302" t="s">
        <v>440</v>
      </c>
      <c r="S302" t="s">
        <v>441</v>
      </c>
      <c r="V302" s="24" t="s">
        <v>404</v>
      </c>
      <c r="W302" s="25" t="s">
        <v>405</v>
      </c>
      <c r="X302" s="28" t="s">
        <v>18</v>
      </c>
      <c r="Y302" s="18" t="s">
        <v>402</v>
      </c>
      <c r="Z302" s="19" t="s">
        <v>403</v>
      </c>
    </row>
    <row r="303" spans="1:26" x14ac:dyDescent="0.3">
      <c r="A303" t="s">
        <v>14</v>
      </c>
      <c r="B303" t="str">
        <f>CONCATENATE($C$289,A303,$D$289,E303," ",F303,$G$289,Tooltips!B18,$H$289,I303,$J$289,K303,$L$289,M303,$P$288)</f>
        <v>&lt;g   id="Taranaki" transform="translate(260 405)"&gt;&lt;title&gt;Taranaki DHB @Pop = 120050 ,   Confirmed  = 49, new today= 0 ,Active 0 ,Recovered 49 ,Deaths 0, &lt;/title&gt;        &lt;circle r="12.5" cy="-7" fill="orange" &gt;&lt;/circle&gt; &lt;text text-anchor="middle"&gt;0&lt;/text&gt;&lt;/g&gt;</v>
      </c>
      <c r="E303" s="4">
        <f t="shared" si="23"/>
        <v>260</v>
      </c>
      <c r="F303" s="4">
        <f t="shared" si="24"/>
        <v>405</v>
      </c>
      <c r="I303">
        <f t="shared" si="22"/>
        <v>12.5</v>
      </c>
      <c r="K303" t="s">
        <v>366</v>
      </c>
      <c r="M303" s="6">
        <f t="shared" si="19"/>
        <v>0</v>
      </c>
      <c r="N303" s="6">
        <f t="shared" si="20"/>
        <v>0</v>
      </c>
      <c r="O303" s="6">
        <f t="shared" si="21"/>
        <v>16</v>
      </c>
      <c r="R303" t="s">
        <v>442</v>
      </c>
      <c r="S303" t="s">
        <v>443</v>
      </c>
      <c r="V303" s="24" t="s">
        <v>406</v>
      </c>
      <c r="W303" s="25" t="s">
        <v>407</v>
      </c>
      <c r="X303" s="28" t="s">
        <v>14</v>
      </c>
      <c r="Y303" s="18" t="s">
        <v>440</v>
      </c>
      <c r="Z303" s="19" t="s">
        <v>441</v>
      </c>
    </row>
    <row r="304" spans="1:26" x14ac:dyDescent="0.3">
      <c r="A304" t="s">
        <v>10</v>
      </c>
      <c r="B304" t="str">
        <f>CONCATENATE($C$289,A304,$D$289,E304," ",F304,$G$289,Tooltips!B19,$H$289,I304,$J$289,K304,$L$289,M304,$P$288)</f>
        <v>&lt;g   id="Waikato" transform="translate(300 339.9)"&gt;&lt;title&gt;Waikato DHB @Pop = 419890 ,   Confirmed  = 28, new today= 0 ,Active 0 ,Recovered 28 ,Deaths 0, &lt;/title&gt;        &lt;circle r="12.5" cy="-7" fill="orange" &gt;&lt;/circle&gt; &lt;text text-anchor="middle"&gt;0&lt;/text&gt;&lt;/g&gt;</v>
      </c>
      <c r="E304" s="4">
        <f t="shared" si="23"/>
        <v>300</v>
      </c>
      <c r="F304" s="4">
        <f t="shared" si="24"/>
        <v>339.9</v>
      </c>
      <c r="I304">
        <f t="shared" si="22"/>
        <v>12.5</v>
      </c>
      <c r="K304" t="s">
        <v>366</v>
      </c>
      <c r="M304" s="6">
        <f t="shared" si="19"/>
        <v>0</v>
      </c>
      <c r="N304" s="6">
        <f t="shared" si="20"/>
        <v>0</v>
      </c>
      <c r="O304" s="6">
        <f t="shared" si="21"/>
        <v>186</v>
      </c>
      <c r="R304" t="s">
        <v>444</v>
      </c>
      <c r="S304" t="s">
        <v>445</v>
      </c>
      <c r="V304" s="24" t="s">
        <v>408</v>
      </c>
      <c r="W304" s="25" t="s">
        <v>409</v>
      </c>
      <c r="X304" s="28" t="s">
        <v>10</v>
      </c>
      <c r="Y304" s="18" t="s">
        <v>442</v>
      </c>
      <c r="Z304" s="19" t="s">
        <v>443</v>
      </c>
    </row>
    <row r="305" spans="1:26" x14ac:dyDescent="0.3">
      <c r="A305" t="s">
        <v>20</v>
      </c>
      <c r="B305" t="str">
        <f>CONCATENATE($C$289,A305,$D$289,E305," ",F305,$G$289,Tooltips!B20,$H$289,I305,$J$289,K305,$L$289,M305,$P$288)</f>
        <v>&lt;g   id="Wairarapa" transform="translate(550 555)"&gt;&lt;title&gt;Wairarapa DHB @Pop = 44905 ,   Confirmed  = 17, new today= 0 ,Active 0 ,Recovered 17 ,Deaths 0, &lt;/title&gt;        &lt;circle r="12.5" cy="-7" fill="orange" &gt;&lt;/circle&gt; &lt;text text-anchor="middle"&gt;0&lt;/text&gt;&lt;/g&gt;</v>
      </c>
      <c r="E305" s="4">
        <f t="shared" si="23"/>
        <v>550</v>
      </c>
      <c r="F305" s="4">
        <f t="shared" si="24"/>
        <v>555</v>
      </c>
      <c r="I305">
        <f t="shared" si="22"/>
        <v>12.5</v>
      </c>
      <c r="K305" t="s">
        <v>366</v>
      </c>
      <c r="M305" s="6">
        <f t="shared" si="19"/>
        <v>0</v>
      </c>
      <c r="N305" s="6">
        <f t="shared" si="20"/>
        <v>0</v>
      </c>
      <c r="O305" s="6">
        <f t="shared" si="21"/>
        <v>8</v>
      </c>
      <c r="P305" s="59"/>
      <c r="Q305" s="59"/>
      <c r="R305" s="59" t="s">
        <v>446</v>
      </c>
      <c r="S305" s="59" t="s">
        <v>385</v>
      </c>
      <c r="T305" s="59"/>
      <c r="U305" s="59"/>
      <c r="V305" s="61" t="s">
        <v>410</v>
      </c>
      <c r="W305" s="62" t="s">
        <v>411</v>
      </c>
      <c r="X305" s="28" t="s">
        <v>20</v>
      </c>
      <c r="Y305" s="18" t="s">
        <v>444</v>
      </c>
      <c r="Z305" s="19" t="s">
        <v>445</v>
      </c>
    </row>
    <row r="306" spans="1:26" s="59" customFormat="1" x14ac:dyDescent="0.3">
      <c r="A306" s="59" t="s">
        <v>815</v>
      </c>
      <c r="B306" t="str">
        <f>CONCATENATE($C$289,A306,$D$289,E306," ",F306,$G$289,Tooltips!B21,$H$289,I306,$J$289,K306,$L$289,M306,$P$288)</f>
        <v>&lt;g   id="Waitematā" transform="translate(230 230)"&gt;&lt;title&gt;Waitemata DHB @Pop = 628970 ,   Confirmed  = 216, new today= 0 ,Active 0 ,Recovered 214 ,Deaths 2, &lt;/title&gt;        &lt;circle r="12.5" cy="-7" fill="orange" &gt;&lt;/circle&gt; &lt;text text-anchor="middle"&gt;0&lt;/text&gt;&lt;/g&gt;</v>
      </c>
      <c r="E306" s="60">
        <f t="shared" si="23"/>
        <v>230</v>
      </c>
      <c r="F306" s="60">
        <f t="shared" si="24"/>
        <v>230</v>
      </c>
      <c r="I306" s="59">
        <f t="shared" si="22"/>
        <v>12.5</v>
      </c>
      <c r="K306" t="s">
        <v>366</v>
      </c>
      <c r="M306" s="6">
        <f t="shared" si="19"/>
        <v>0</v>
      </c>
      <c r="N306" s="6">
        <f t="shared" si="20"/>
        <v>12</v>
      </c>
      <c r="O306" s="6">
        <f t="shared" si="21"/>
        <v>276</v>
      </c>
      <c r="P306"/>
      <c r="Q306"/>
      <c r="R306" t="s">
        <v>447</v>
      </c>
      <c r="S306" t="s">
        <v>448</v>
      </c>
      <c r="T306"/>
      <c r="U306"/>
      <c r="V306" s="24" t="s">
        <v>412</v>
      </c>
      <c r="W306" s="25" t="s">
        <v>413</v>
      </c>
      <c r="X306" s="63" t="s">
        <v>11</v>
      </c>
      <c r="Y306" s="64" t="s">
        <v>446</v>
      </c>
      <c r="Z306" s="65" t="s">
        <v>385</v>
      </c>
    </row>
    <row r="307" spans="1:26" ht="15.75" thickBot="1" x14ac:dyDescent="0.35">
      <c r="A307" t="s">
        <v>19</v>
      </c>
      <c r="B307" t="str">
        <f>CONCATENATE($C$289,A307,$D$289,E307," ",F307,$G$289,Tooltips!B22,$H$289,I307,$J$289,K307,$L$289,M307,$P$288)</f>
        <v>&lt;g   id="West Coast" transform="translate(123 653)"&gt;&lt;title&gt;West Coast DHB @Pop = 32410 ,   Confirmed  = 4, new today= 0 ,Active 0 ,Recovered 4 ,Deaths 0, &lt;/title&gt;        &lt;circle r="12.5" cy="-7" fill="orange" &gt;&lt;/circle&gt; &lt;text text-anchor="middle"&gt;0&lt;/text&gt;&lt;/g&gt;</v>
      </c>
      <c r="E307" s="4">
        <f t="shared" si="23"/>
        <v>123</v>
      </c>
      <c r="F307" s="4">
        <f t="shared" si="24"/>
        <v>653</v>
      </c>
      <c r="I307">
        <f t="shared" si="22"/>
        <v>12.5</v>
      </c>
      <c r="K307" t="s">
        <v>366</v>
      </c>
      <c r="M307" s="6">
        <f t="shared" si="19"/>
        <v>0</v>
      </c>
      <c r="N307" s="6">
        <f t="shared" si="20"/>
        <v>0</v>
      </c>
      <c r="O307" s="6">
        <f t="shared" si="21"/>
        <v>4</v>
      </c>
      <c r="R307" t="s">
        <v>449</v>
      </c>
      <c r="S307" t="s">
        <v>450</v>
      </c>
      <c r="V307" s="26" t="s">
        <v>414</v>
      </c>
      <c r="W307" s="27" t="s">
        <v>415</v>
      </c>
      <c r="X307" s="28" t="s">
        <v>19</v>
      </c>
      <c r="Y307" s="18" t="s">
        <v>447</v>
      </c>
      <c r="Z307" s="19" t="s">
        <v>448</v>
      </c>
    </row>
    <row r="308" spans="1:26" ht="15.75" thickBot="1" x14ac:dyDescent="0.35">
      <c r="A308" t="s">
        <v>15</v>
      </c>
      <c r="B308" t="str">
        <f>CONCATENATE($C$289,A308,$D$289,E308," ",F308,$G$289,Tooltips!B23,$H$289,I308,$J$289,K308,$L$289,M308,$P$288)</f>
        <v>&lt;g   id="Whanganui" transform="translate(325 480)"&gt;&lt;title&gt;Whanganui DHB @Pop = 64550 ,   Confirmed  = 16, new today= 0 ,Active 0 ,Recovered 16 ,Deaths 0, &lt;/title&gt;        &lt;circle r="12.5" cy="-7" fill="orange" &gt;&lt;/circle&gt; &lt;text text-anchor="middle"&gt;0&lt;/text&gt;&lt;/g&gt;</v>
      </c>
      <c r="E308" s="4">
        <f t="shared" si="23"/>
        <v>325</v>
      </c>
      <c r="F308" s="4">
        <f t="shared" si="24"/>
        <v>480</v>
      </c>
      <c r="I308">
        <f t="shared" si="22"/>
        <v>12.5</v>
      </c>
      <c r="K308" t="s">
        <v>366</v>
      </c>
      <c r="M308" s="6">
        <f t="shared" si="19"/>
        <v>0</v>
      </c>
      <c r="N308" s="6">
        <f t="shared" si="20"/>
        <v>0</v>
      </c>
      <c r="O308" s="6">
        <f t="shared" si="21"/>
        <v>4</v>
      </c>
      <c r="X308" s="29" t="s">
        <v>15</v>
      </c>
      <c r="Y308" s="20" t="s">
        <v>449</v>
      </c>
      <c r="Z308" s="21" t="s">
        <v>450</v>
      </c>
    </row>
    <row r="309" spans="1:26" x14ac:dyDescent="0.3">
      <c r="B309" t="str">
        <f>C309</f>
        <v>&lt;/g&gt;&lt;/g&gt;</v>
      </c>
      <c r="C309" t="s">
        <v>355</v>
      </c>
    </row>
    <row r="310" spans="1:26" x14ac:dyDescent="0.3">
      <c r="B310" t="str">
        <f>C310</f>
        <v>&lt;/svg&gt;</v>
      </c>
      <c r="C310" t="s">
        <v>363</v>
      </c>
    </row>
    <row r="311" spans="1:26" x14ac:dyDescent="0.3">
      <c r="B311" t="str">
        <f>C311</f>
        <v>&lt;/div&gt;</v>
      </c>
      <c r="C311" t="s">
        <v>464</v>
      </c>
      <c r="K311" t="s">
        <v>458</v>
      </c>
    </row>
    <row r="312" spans="1:26" x14ac:dyDescent="0.3">
      <c r="K312" t="s">
        <v>373</v>
      </c>
    </row>
    <row r="313" spans="1:26" x14ac:dyDescent="0.3">
      <c r="B313" t="str">
        <f>C313</f>
        <v>&lt;div id="data" align="right"&gt;</v>
      </c>
      <c r="C313" t="s">
        <v>579</v>
      </c>
      <c r="K313" s="10" t="s">
        <v>458</v>
      </c>
    </row>
    <row r="314" spans="1:26" x14ac:dyDescent="0.3">
      <c r="B314" t="str">
        <f>C314</f>
        <v>&lt;div id="data_table" align="left"&gt;</v>
      </c>
      <c r="C314" t="s">
        <v>577</v>
      </c>
      <c r="K314" s="10"/>
    </row>
    <row r="315" spans="1:26" x14ac:dyDescent="0.3">
      <c r="B315" t="str">
        <f>C315</f>
        <v>&lt;/div&gt;</v>
      </c>
      <c r="C315" t="s">
        <v>464</v>
      </c>
      <c r="K315" s="10"/>
    </row>
    <row r="316" spans="1:26" x14ac:dyDescent="0.3">
      <c r="B316" t="str">
        <f>C316</f>
        <v>&lt;br&gt;&lt;br&gt;</v>
      </c>
      <c r="C316" t="s">
        <v>591</v>
      </c>
      <c r="K316" s="10"/>
    </row>
    <row r="317" spans="1:26" x14ac:dyDescent="0.3">
      <c r="K317" s="10"/>
    </row>
    <row r="318" spans="1:26" x14ac:dyDescent="0.3">
      <c r="B318" t="str">
        <f>C318</f>
        <v>&lt;div id="chartdiv" style="width: 100%; height: 400px; background-color: #FFFFFF;" &gt;</v>
      </c>
      <c r="C318" t="s">
        <v>649</v>
      </c>
      <c r="E318" t="s">
        <v>588</v>
      </c>
    </row>
    <row r="319" spans="1:26" x14ac:dyDescent="0.3">
      <c r="B319" t="str">
        <f>C319</f>
        <v>&lt;/div&gt;</v>
      </c>
      <c r="C319" t="s">
        <v>464</v>
      </c>
    </row>
    <row r="321" spans="1:3" x14ac:dyDescent="0.3">
      <c r="B321" t="str">
        <f>C321</f>
        <v>&lt;/div&gt;</v>
      </c>
      <c r="C321" t="s">
        <v>464</v>
      </c>
    </row>
    <row r="323" spans="1:3" x14ac:dyDescent="0.3">
      <c r="B323" t="str">
        <f>C323</f>
        <v>&lt;/div&gt;</v>
      </c>
      <c r="C323" t="s">
        <v>464</v>
      </c>
    </row>
    <row r="324" spans="1:3" x14ac:dyDescent="0.3">
      <c r="B324" t="str">
        <f>C324</f>
        <v>&lt;/body&gt;</v>
      </c>
      <c r="C324" t="s">
        <v>364</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sortState xmlns:xlrd2="http://schemas.microsoft.com/office/spreadsheetml/2017/richdata2" ref="P158:W178">
    <sortCondition ref="P158"/>
  </sortState>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L281"/>
  <sheetViews>
    <sheetView workbookViewId="0">
      <selection activeCell="A3" sqref="A3"/>
    </sheetView>
  </sheetViews>
  <sheetFormatPr defaultRowHeight="15.05" x14ac:dyDescent="0.3"/>
  <cols>
    <col min="1" max="1" width="47.6640625" bestFit="1" customWidth="1"/>
    <col min="2" max="2" width="31.109375" bestFit="1" customWidth="1"/>
    <col min="3" max="3" width="30.33203125" bestFit="1" customWidth="1"/>
    <col min="4" max="4" width="8.21875" bestFit="1" customWidth="1"/>
    <col min="5" max="5" width="9.33203125" bestFit="1" customWidth="1"/>
    <col min="6" max="7" width="19.33203125" bestFit="1" customWidth="1"/>
    <col min="8" max="8" width="33.44140625" customWidth="1"/>
    <col min="11" max="11" width="12.6640625" customWidth="1"/>
  </cols>
  <sheetData>
    <row r="1" spans="1:10" x14ac:dyDescent="0.3">
      <c r="A1" t="s">
        <v>457</v>
      </c>
      <c r="B1" s="10" t="s">
        <v>221</v>
      </c>
    </row>
    <row r="2" spans="1:10" x14ac:dyDescent="0.3">
      <c r="A2" t="s">
        <v>1139</v>
      </c>
    </row>
    <row r="3" spans="1:10" x14ac:dyDescent="0.3">
      <c r="B3" t="s">
        <v>816</v>
      </c>
      <c r="C3" t="s">
        <v>517</v>
      </c>
      <c r="H3" s="94"/>
    </row>
    <row r="4" spans="1:10" x14ac:dyDescent="0.3">
      <c r="A4" t="s">
        <v>200</v>
      </c>
      <c r="B4" s="5">
        <v>1464</v>
      </c>
      <c r="C4">
        <v>0</v>
      </c>
    </row>
    <row r="5" spans="1:10" x14ac:dyDescent="0.3">
      <c r="A5" t="s">
        <v>201</v>
      </c>
      <c r="B5">
        <v>351</v>
      </c>
      <c r="C5">
        <v>0</v>
      </c>
      <c r="J5" t="e">
        <f>te</f>
        <v>#NAME?</v>
      </c>
    </row>
    <row r="6" spans="1:10" x14ac:dyDescent="0.3">
      <c r="A6" t="s">
        <v>202</v>
      </c>
      <c r="B6" s="5">
        <v>1815</v>
      </c>
      <c r="C6">
        <v>0</v>
      </c>
    </row>
    <row r="7" spans="1:10" x14ac:dyDescent="0.3">
      <c r="A7" t="s">
        <v>203</v>
      </c>
      <c r="B7" s="5">
        <v>1729</v>
      </c>
      <c r="C7">
        <v>1</v>
      </c>
    </row>
    <row r="8" spans="1:10" x14ac:dyDescent="0.3">
      <c r="A8" t="s">
        <v>204</v>
      </c>
      <c r="B8" s="5">
        <v>25</v>
      </c>
      <c r="C8">
        <v>0</v>
      </c>
    </row>
    <row r="9" spans="1:10" x14ac:dyDescent="0.3">
      <c r="A9" t="s">
        <v>1032</v>
      </c>
      <c r="B9">
        <v>61</v>
      </c>
      <c r="C9">
        <v>-1</v>
      </c>
    </row>
    <row r="10" spans="1:10" x14ac:dyDescent="0.3">
      <c r="A10" t="s">
        <v>817</v>
      </c>
      <c r="B10">
        <v>3</v>
      </c>
      <c r="C10">
        <v>0</v>
      </c>
    </row>
    <row r="12" spans="1:10" x14ac:dyDescent="0.3">
      <c r="A12" t="s">
        <v>1097</v>
      </c>
    </row>
    <row r="13" spans="1:10" x14ac:dyDescent="0.3">
      <c r="A13" t="s">
        <v>1100</v>
      </c>
      <c r="B13" s="49" t="s">
        <v>1098</v>
      </c>
      <c r="H13">
        <f>B37</f>
        <v>0</v>
      </c>
    </row>
    <row r="14" spans="1:10" x14ac:dyDescent="0.3">
      <c r="A14">
        <v>158</v>
      </c>
      <c r="B14" s="49">
        <v>29</v>
      </c>
    </row>
    <row r="15" spans="1:10" x14ac:dyDescent="0.3">
      <c r="B15" s="49"/>
    </row>
    <row r="16" spans="1:10" x14ac:dyDescent="0.3">
      <c r="A16" t="s">
        <v>1140</v>
      </c>
      <c r="B16" s="49"/>
    </row>
    <row r="17" spans="1:8" x14ac:dyDescent="0.3">
      <c r="A17" t="s">
        <v>0</v>
      </c>
      <c r="B17" s="49" t="s">
        <v>818</v>
      </c>
      <c r="C17" t="s">
        <v>819</v>
      </c>
      <c r="D17" t="s">
        <v>820</v>
      </c>
      <c r="E17" t="s">
        <v>207</v>
      </c>
      <c r="F17" t="s">
        <v>517</v>
      </c>
    </row>
    <row r="18" spans="1:8" x14ac:dyDescent="0.3">
      <c r="A18" t="s">
        <v>1</v>
      </c>
      <c r="B18" s="49">
        <v>9</v>
      </c>
      <c r="C18">
        <v>213</v>
      </c>
      <c r="D18">
        <v>1</v>
      </c>
      <c r="E18">
        <v>223</v>
      </c>
      <c r="F18">
        <v>0</v>
      </c>
    </row>
    <row r="19" spans="1:8" x14ac:dyDescent="0.3">
      <c r="A19" t="s">
        <v>2</v>
      </c>
      <c r="B19" s="49">
        <v>0</v>
      </c>
      <c r="C19">
        <v>48</v>
      </c>
      <c r="D19">
        <v>0</v>
      </c>
      <c r="E19">
        <v>48</v>
      </c>
      <c r="F19">
        <v>0</v>
      </c>
    </row>
    <row r="20" spans="1:8" x14ac:dyDescent="0.3">
      <c r="A20" t="s">
        <v>3</v>
      </c>
      <c r="B20">
        <v>0</v>
      </c>
      <c r="C20">
        <v>152</v>
      </c>
      <c r="D20">
        <v>12</v>
      </c>
      <c r="E20">
        <v>164</v>
      </c>
      <c r="F20">
        <v>0</v>
      </c>
    </row>
    <row r="21" spans="1:8" x14ac:dyDescent="0.3">
      <c r="A21" t="s">
        <v>4</v>
      </c>
      <c r="B21" s="49">
        <v>0</v>
      </c>
      <c r="C21">
        <v>93</v>
      </c>
      <c r="D21">
        <v>2</v>
      </c>
      <c r="E21">
        <v>95</v>
      </c>
      <c r="F21">
        <v>0</v>
      </c>
    </row>
    <row r="22" spans="1:8" x14ac:dyDescent="0.3">
      <c r="A22" t="s">
        <v>5</v>
      </c>
      <c r="B22" s="49">
        <v>11</v>
      </c>
      <c r="C22">
        <v>201</v>
      </c>
      <c r="D22">
        <v>1</v>
      </c>
      <c r="E22">
        <v>213</v>
      </c>
      <c r="F22">
        <v>0</v>
      </c>
    </row>
    <row r="23" spans="1:8" x14ac:dyDescent="0.3">
      <c r="A23" t="s">
        <v>6</v>
      </c>
      <c r="B23" s="49">
        <v>0</v>
      </c>
      <c r="C23">
        <v>44</v>
      </c>
      <c r="D23">
        <v>0</v>
      </c>
      <c r="E23">
        <v>44</v>
      </c>
      <c r="F23">
        <v>0</v>
      </c>
    </row>
    <row r="24" spans="1:8" x14ac:dyDescent="0.3">
      <c r="A24" t="s">
        <v>12</v>
      </c>
      <c r="B24" s="49">
        <v>0</v>
      </c>
      <c r="C24">
        <v>22</v>
      </c>
      <c r="D24">
        <v>0</v>
      </c>
      <c r="E24">
        <v>22</v>
      </c>
      <c r="F24">
        <v>0</v>
      </c>
    </row>
    <row r="25" spans="1:8" x14ac:dyDescent="0.3">
      <c r="A25" t="s">
        <v>16</v>
      </c>
      <c r="B25" s="49">
        <v>0</v>
      </c>
      <c r="C25">
        <v>16</v>
      </c>
      <c r="D25">
        <v>0</v>
      </c>
      <c r="E25">
        <v>16</v>
      </c>
      <c r="F25">
        <v>0</v>
      </c>
    </row>
    <row r="26" spans="1:8" x14ac:dyDescent="0.3">
      <c r="A26" t="s">
        <v>821</v>
      </c>
      <c r="B26">
        <v>0</v>
      </c>
      <c r="C26">
        <v>32</v>
      </c>
      <c r="D26">
        <v>0</v>
      </c>
      <c r="E26">
        <v>32</v>
      </c>
      <c r="F26">
        <v>0</v>
      </c>
    </row>
    <row r="27" spans="1:8" x14ac:dyDescent="0.3">
      <c r="A27" t="s">
        <v>7</v>
      </c>
      <c r="B27" s="49">
        <v>0</v>
      </c>
      <c r="C27">
        <v>49</v>
      </c>
      <c r="D27">
        <v>0</v>
      </c>
      <c r="E27">
        <v>49</v>
      </c>
      <c r="F27">
        <v>0</v>
      </c>
    </row>
    <row r="28" spans="1:8" x14ac:dyDescent="0.3">
      <c r="A28" t="s">
        <v>17</v>
      </c>
      <c r="B28" s="5">
        <v>0</v>
      </c>
      <c r="C28" s="5">
        <v>28</v>
      </c>
      <c r="D28">
        <v>0</v>
      </c>
      <c r="E28" s="5">
        <v>28</v>
      </c>
      <c r="F28" s="5">
        <v>0</v>
      </c>
    </row>
    <row r="29" spans="1:8" x14ac:dyDescent="0.3">
      <c r="A29" t="s">
        <v>8</v>
      </c>
      <c r="B29" s="49">
        <v>0</v>
      </c>
      <c r="C29">
        <v>17</v>
      </c>
      <c r="D29">
        <v>0</v>
      </c>
      <c r="E29">
        <v>17</v>
      </c>
      <c r="F29">
        <v>0</v>
      </c>
      <c r="H29" t="str">
        <f>B49</f>
        <v>Active</v>
      </c>
    </row>
    <row r="30" spans="1:8" x14ac:dyDescent="0.3">
      <c r="A30" t="s">
        <v>9</v>
      </c>
      <c r="B30">
        <v>0</v>
      </c>
      <c r="C30">
        <v>214</v>
      </c>
      <c r="D30">
        <v>2</v>
      </c>
      <c r="E30">
        <v>216</v>
      </c>
      <c r="F30">
        <v>0</v>
      </c>
    </row>
    <row r="31" spans="1:8" x14ac:dyDescent="0.3">
      <c r="A31" t="s">
        <v>206</v>
      </c>
      <c r="B31">
        <v>0</v>
      </c>
      <c r="C31">
        <v>4</v>
      </c>
      <c r="D31">
        <v>0</v>
      </c>
      <c r="E31">
        <v>4</v>
      </c>
      <c r="F31">
        <v>0</v>
      </c>
    </row>
    <row r="32" spans="1:8" x14ac:dyDescent="0.3">
      <c r="A32" t="s">
        <v>14</v>
      </c>
      <c r="B32" s="49">
        <v>0</v>
      </c>
      <c r="C32">
        <v>16</v>
      </c>
      <c r="D32">
        <v>0</v>
      </c>
      <c r="E32">
        <v>16</v>
      </c>
      <c r="F32">
        <v>0</v>
      </c>
    </row>
    <row r="33" spans="1:12" x14ac:dyDescent="0.3">
      <c r="A33" t="s">
        <v>10</v>
      </c>
      <c r="B33" s="49">
        <v>0</v>
      </c>
      <c r="C33">
        <v>186</v>
      </c>
      <c r="D33">
        <v>2</v>
      </c>
      <c r="E33">
        <v>188</v>
      </c>
      <c r="F33">
        <v>0</v>
      </c>
    </row>
    <row r="34" spans="1:12" x14ac:dyDescent="0.3">
      <c r="A34" t="s">
        <v>20</v>
      </c>
      <c r="B34" s="49">
        <v>0</v>
      </c>
      <c r="C34">
        <v>8</v>
      </c>
      <c r="D34">
        <v>0</v>
      </c>
      <c r="E34">
        <v>8</v>
      </c>
      <c r="F34">
        <v>0</v>
      </c>
    </row>
    <row r="35" spans="1:12" x14ac:dyDescent="0.3">
      <c r="A35" t="s">
        <v>815</v>
      </c>
      <c r="B35" s="49">
        <v>12</v>
      </c>
      <c r="C35">
        <v>276</v>
      </c>
      <c r="D35">
        <v>4</v>
      </c>
      <c r="E35">
        <v>292</v>
      </c>
      <c r="F35">
        <v>0</v>
      </c>
    </row>
    <row r="36" spans="1:12" x14ac:dyDescent="0.3">
      <c r="A36" t="s">
        <v>19</v>
      </c>
      <c r="B36" s="49">
        <v>0</v>
      </c>
      <c r="C36">
        <v>4</v>
      </c>
      <c r="D36">
        <v>1</v>
      </c>
      <c r="E36">
        <v>5</v>
      </c>
      <c r="F36">
        <v>0</v>
      </c>
    </row>
    <row r="37" spans="1:12" x14ac:dyDescent="0.3">
      <c r="A37" t="s">
        <v>15</v>
      </c>
      <c r="B37">
        <v>0</v>
      </c>
      <c r="C37" s="5">
        <v>9</v>
      </c>
      <c r="D37">
        <v>0</v>
      </c>
      <c r="E37" s="5">
        <v>9</v>
      </c>
      <c r="F37" s="5">
        <v>0</v>
      </c>
      <c r="H37">
        <f>SUM(H17:H36)</f>
        <v>0</v>
      </c>
    </row>
    <row r="38" spans="1:12" x14ac:dyDescent="0.3">
      <c r="A38" t="s">
        <v>1138</v>
      </c>
      <c r="B38" s="49">
        <v>29</v>
      </c>
      <c r="C38">
        <v>97</v>
      </c>
      <c r="D38">
        <v>0</v>
      </c>
      <c r="E38">
        <v>126</v>
      </c>
      <c r="F38">
        <v>0</v>
      </c>
    </row>
    <row r="39" spans="1:12" x14ac:dyDescent="0.3">
      <c r="A39" t="s">
        <v>207</v>
      </c>
      <c r="B39">
        <v>61</v>
      </c>
      <c r="C39">
        <v>1729</v>
      </c>
      <c r="D39">
        <v>25</v>
      </c>
      <c r="E39">
        <v>1815</v>
      </c>
      <c r="F39">
        <v>0</v>
      </c>
      <c r="J39" t="s">
        <v>669</v>
      </c>
      <c r="L39" t="s">
        <v>668</v>
      </c>
    </row>
    <row r="40" spans="1:12" x14ac:dyDescent="0.3">
      <c r="I40" s="45"/>
    </row>
    <row r="41" spans="1:12" x14ac:dyDescent="0.3">
      <c r="A41" t="s">
        <v>1141</v>
      </c>
    </row>
    <row r="42" spans="1:12" x14ac:dyDescent="0.3">
      <c r="A42" t="s">
        <v>0</v>
      </c>
      <c r="B42" t="s">
        <v>205</v>
      </c>
    </row>
    <row r="43" spans="1:12" x14ac:dyDescent="0.3">
      <c r="A43" t="s">
        <v>1</v>
      </c>
      <c r="B43">
        <v>1</v>
      </c>
    </row>
    <row r="44" spans="1:12" x14ac:dyDescent="0.3">
      <c r="A44" t="s">
        <v>5</v>
      </c>
      <c r="B44" s="5">
        <v>1</v>
      </c>
    </row>
    <row r="45" spans="1:12" x14ac:dyDescent="0.3">
      <c r="A45" t="s">
        <v>815</v>
      </c>
      <c r="B45" s="9">
        <v>1</v>
      </c>
    </row>
    <row r="46" spans="1:12" x14ac:dyDescent="0.3">
      <c r="A46" t="s">
        <v>207</v>
      </c>
      <c r="B46" s="9">
        <v>3</v>
      </c>
      <c r="H46">
        <f t="shared" ref="H46:H51" si="0">VALUE(B45)*100</f>
        <v>100</v>
      </c>
    </row>
    <row r="47" spans="1:12" x14ac:dyDescent="0.3">
      <c r="B47" s="9"/>
      <c r="H47">
        <f t="shared" si="0"/>
        <v>300</v>
      </c>
    </row>
    <row r="48" spans="1:12" x14ac:dyDescent="0.3">
      <c r="A48" t="s">
        <v>1142</v>
      </c>
      <c r="B48" s="9"/>
      <c r="H48">
        <f t="shared" si="0"/>
        <v>0</v>
      </c>
    </row>
    <row r="49" spans="1:8" x14ac:dyDescent="0.3">
      <c r="A49" t="s">
        <v>990</v>
      </c>
      <c r="B49" s="9" t="s">
        <v>818</v>
      </c>
      <c r="C49" t="s">
        <v>819</v>
      </c>
      <c r="D49" t="s">
        <v>820</v>
      </c>
      <c r="E49" t="s">
        <v>207</v>
      </c>
      <c r="H49">
        <f t="shared" si="0"/>
        <v>0</v>
      </c>
    </row>
    <row r="50" spans="1:8" x14ac:dyDescent="0.3">
      <c r="A50" t="s">
        <v>991</v>
      </c>
      <c r="B50" s="9">
        <v>13</v>
      </c>
      <c r="C50">
        <v>60</v>
      </c>
      <c r="D50">
        <v>0</v>
      </c>
      <c r="E50">
        <v>73</v>
      </c>
      <c r="H50" t="e">
        <f t="shared" si="0"/>
        <v>#VALUE!</v>
      </c>
    </row>
    <row r="51" spans="1:8" x14ac:dyDescent="0.3">
      <c r="A51" t="s">
        <v>992</v>
      </c>
      <c r="B51" s="9">
        <v>4</v>
      </c>
      <c r="C51">
        <v>160</v>
      </c>
      <c r="D51">
        <v>0</v>
      </c>
      <c r="E51">
        <v>164</v>
      </c>
      <c r="H51">
        <f t="shared" si="0"/>
        <v>1300</v>
      </c>
    </row>
    <row r="52" spans="1:8" x14ac:dyDescent="0.3">
      <c r="A52" t="s">
        <v>993</v>
      </c>
      <c r="B52" s="9">
        <v>10</v>
      </c>
      <c r="C52" s="9">
        <v>413</v>
      </c>
      <c r="D52" s="9">
        <v>0</v>
      </c>
      <c r="E52" s="9">
        <v>423</v>
      </c>
      <c r="F52" s="9"/>
      <c r="H52" t="e">
        <f>SUM(H48:H51)</f>
        <v>#VALUE!</v>
      </c>
    </row>
    <row r="53" spans="1:8" x14ac:dyDescent="0.3">
      <c r="A53" t="s">
        <v>994</v>
      </c>
      <c r="B53" s="5">
        <v>15</v>
      </c>
      <c r="C53" s="46">
        <v>285</v>
      </c>
      <c r="D53" s="46">
        <v>0</v>
      </c>
      <c r="E53" s="46">
        <v>300</v>
      </c>
      <c r="F53" s="46"/>
    </row>
    <row r="54" spans="1:8" x14ac:dyDescent="0.3">
      <c r="A54" t="s">
        <v>995</v>
      </c>
      <c r="B54" s="79">
        <v>4</v>
      </c>
      <c r="C54" s="46">
        <v>250</v>
      </c>
      <c r="D54" s="46">
        <v>0</v>
      </c>
      <c r="E54" s="46">
        <v>254</v>
      </c>
      <c r="F54" s="46"/>
    </row>
    <row r="55" spans="1:8" x14ac:dyDescent="0.3">
      <c r="A55" t="s">
        <v>996</v>
      </c>
      <c r="B55" s="79">
        <v>11</v>
      </c>
      <c r="C55" s="46">
        <v>270</v>
      </c>
      <c r="D55" s="81">
        <v>2</v>
      </c>
      <c r="E55" s="46">
        <v>283</v>
      </c>
      <c r="F55" s="46"/>
    </row>
    <row r="56" spans="1:8" x14ac:dyDescent="0.3">
      <c r="A56" t="s">
        <v>997</v>
      </c>
      <c r="B56" s="79">
        <v>4</v>
      </c>
      <c r="C56" s="46">
        <v>185</v>
      </c>
      <c r="D56" s="81">
        <v>3</v>
      </c>
      <c r="E56" s="46">
        <v>192</v>
      </c>
      <c r="F56" s="46"/>
    </row>
    <row r="57" spans="1:8" x14ac:dyDescent="0.3">
      <c r="A57" t="s">
        <v>1029</v>
      </c>
      <c r="B57" s="79">
        <v>0</v>
      </c>
      <c r="C57" s="46">
        <v>78</v>
      </c>
      <c r="D57" s="81">
        <v>7</v>
      </c>
      <c r="E57" s="46">
        <v>85</v>
      </c>
      <c r="F57" s="46"/>
    </row>
    <row r="58" spans="1:8" x14ac:dyDescent="0.3">
      <c r="A58" t="s">
        <v>1030</v>
      </c>
      <c r="B58" s="79">
        <v>0</v>
      </c>
      <c r="C58" s="46">
        <v>24</v>
      </c>
      <c r="D58" s="81">
        <v>8</v>
      </c>
      <c r="E58" s="46">
        <v>32</v>
      </c>
      <c r="F58" s="46"/>
    </row>
    <row r="59" spans="1:8" x14ac:dyDescent="0.3">
      <c r="A59" s="7" t="s">
        <v>1031</v>
      </c>
      <c r="B59" s="83">
        <v>0</v>
      </c>
      <c r="C59">
        <v>4</v>
      </c>
      <c r="D59">
        <v>5</v>
      </c>
      <c r="E59">
        <v>9</v>
      </c>
    </row>
    <row r="60" spans="1:8" x14ac:dyDescent="0.3">
      <c r="A60" s="7" t="s">
        <v>207</v>
      </c>
      <c r="B60" s="83">
        <v>61</v>
      </c>
      <c r="C60" s="8">
        <v>1729</v>
      </c>
      <c r="D60" s="8">
        <v>25</v>
      </c>
      <c r="E60" s="8">
        <v>1815</v>
      </c>
      <c r="F60" s="8"/>
    </row>
    <row r="61" spans="1:8" x14ac:dyDescent="0.3">
      <c r="A61" s="7"/>
      <c r="B61" s="8"/>
      <c r="C61" s="46"/>
    </row>
    <row r="62" spans="1:8" x14ac:dyDescent="0.3">
      <c r="A62" s="7" t="s">
        <v>1006</v>
      </c>
      <c r="B62" s="8"/>
      <c r="C62" s="46"/>
      <c r="D62" s="8"/>
      <c r="E62" s="8"/>
      <c r="F62" s="8"/>
    </row>
    <row r="63" spans="1:8" x14ac:dyDescent="0.3">
      <c r="A63" s="7" t="s">
        <v>1007</v>
      </c>
      <c r="B63" s="8" t="s">
        <v>208</v>
      </c>
      <c r="C63" s="46"/>
      <c r="D63" s="8"/>
      <c r="E63" s="8"/>
      <c r="F63" s="8"/>
    </row>
    <row r="64" spans="1:8" x14ac:dyDescent="0.3">
      <c r="A64" s="7" t="s">
        <v>1008</v>
      </c>
      <c r="B64" s="8">
        <v>0.39</v>
      </c>
      <c r="C64" s="46"/>
      <c r="D64" s="8"/>
      <c r="E64" s="8"/>
      <c r="F64" s="8"/>
    </row>
    <row r="65" spans="1:6" x14ac:dyDescent="0.3">
      <c r="A65" s="7" t="s">
        <v>1009</v>
      </c>
      <c r="B65" s="8">
        <v>0.25</v>
      </c>
      <c r="C65" s="46"/>
      <c r="D65" s="8"/>
      <c r="E65" s="8"/>
      <c r="F65" s="8"/>
    </row>
    <row r="66" spans="1:6" x14ac:dyDescent="0.3">
      <c r="A66" s="7" t="s">
        <v>1010</v>
      </c>
      <c r="B66" s="8">
        <v>0.31</v>
      </c>
      <c r="C66" s="46"/>
      <c r="D66" s="8"/>
      <c r="E66" s="8"/>
      <c r="F66" s="8"/>
    </row>
    <row r="67" spans="1:6" x14ac:dyDescent="0.3">
      <c r="A67" s="7" t="s">
        <v>1011</v>
      </c>
      <c r="B67" s="8">
        <v>0.05</v>
      </c>
      <c r="C67" s="46"/>
      <c r="D67" s="8"/>
      <c r="E67" s="8"/>
      <c r="F67" s="8"/>
    </row>
    <row r="68" spans="1:6" x14ac:dyDescent="0.3">
      <c r="A68" s="7" t="s">
        <v>211</v>
      </c>
      <c r="B68" s="8">
        <v>0</v>
      </c>
      <c r="C68" s="46"/>
      <c r="D68" s="8"/>
      <c r="E68" s="8"/>
      <c r="F68" s="8"/>
    </row>
    <row r="69" spans="1:6" x14ac:dyDescent="0.3">
      <c r="A69" s="7"/>
      <c r="B69" s="8"/>
      <c r="C69" s="46"/>
      <c r="D69" s="8"/>
      <c r="E69" s="8"/>
      <c r="F69" s="8"/>
    </row>
    <row r="70" spans="1:6" x14ac:dyDescent="0.3">
      <c r="A70" s="7" t="s">
        <v>1143</v>
      </c>
      <c r="B70" s="8"/>
      <c r="C70" s="46"/>
      <c r="D70" s="8"/>
      <c r="E70" s="8"/>
      <c r="F70" s="8"/>
    </row>
    <row r="71" spans="1:6" x14ac:dyDescent="0.3">
      <c r="A71" s="7"/>
      <c r="B71" s="8" t="s">
        <v>212</v>
      </c>
      <c r="C71" s="46" t="s">
        <v>520</v>
      </c>
      <c r="D71" s="8"/>
      <c r="E71" s="8"/>
      <c r="F71" s="8"/>
    </row>
    <row r="72" spans="1:6" x14ac:dyDescent="0.3">
      <c r="A72" s="7" t="s">
        <v>548</v>
      </c>
      <c r="B72" s="58">
        <v>3278</v>
      </c>
      <c r="C72" s="46">
        <v>44095</v>
      </c>
      <c r="D72" s="8"/>
      <c r="E72" s="8"/>
      <c r="F72" s="8"/>
    </row>
    <row r="73" spans="1:6" x14ac:dyDescent="0.3">
      <c r="A73" s="7" t="s">
        <v>213</v>
      </c>
      <c r="B73" s="58">
        <v>6465</v>
      </c>
      <c r="C73" s="46" t="s">
        <v>1144</v>
      </c>
      <c r="D73" s="8"/>
      <c r="E73" s="8"/>
      <c r="F73" s="8"/>
    </row>
    <row r="74" spans="1:6" x14ac:dyDescent="0.3">
      <c r="A74" s="7" t="s">
        <v>521</v>
      </c>
      <c r="B74" s="58">
        <v>917699</v>
      </c>
      <c r="C74" s="46" t="s">
        <v>1145</v>
      </c>
      <c r="D74" s="8"/>
      <c r="E74" s="8"/>
      <c r="F74" s="8"/>
    </row>
    <row r="75" spans="1:6" x14ac:dyDescent="0.3">
      <c r="A75" s="7" t="s">
        <v>1137</v>
      </c>
      <c r="B75" s="58">
        <v>299057</v>
      </c>
      <c r="C75" s="46">
        <v>44096</v>
      </c>
      <c r="D75" s="8"/>
      <c r="E75" s="8"/>
      <c r="F75" s="8"/>
    </row>
    <row r="76" spans="1:6" x14ac:dyDescent="0.3">
      <c r="A76" s="7"/>
      <c r="B76" s="58"/>
      <c r="C76" s="46"/>
      <c r="D76" s="8"/>
      <c r="E76" s="8"/>
      <c r="F76" s="8"/>
    </row>
    <row r="77" spans="1:6" x14ac:dyDescent="0.3">
      <c r="A77" s="7" t="s">
        <v>651</v>
      </c>
      <c r="B77" s="58"/>
      <c r="C77" s="46"/>
      <c r="D77" s="8"/>
      <c r="E77" s="8"/>
      <c r="F77" s="8"/>
    </row>
    <row r="78" spans="1:6" x14ac:dyDescent="0.3">
      <c r="A78" s="7" t="s">
        <v>520</v>
      </c>
      <c r="B78" s="58" t="s">
        <v>683</v>
      </c>
      <c r="C78" s="46" t="s">
        <v>684</v>
      </c>
      <c r="D78" s="8"/>
      <c r="E78" s="8"/>
      <c r="F78" s="8"/>
    </row>
    <row r="79" spans="1:6" x14ac:dyDescent="0.3">
      <c r="A79" s="7" t="s">
        <v>1049</v>
      </c>
      <c r="B79" s="58"/>
      <c r="C79" s="8">
        <v>300</v>
      </c>
      <c r="D79" s="8"/>
      <c r="E79" s="8"/>
      <c r="F79" s="8"/>
    </row>
    <row r="80" spans="1:6" x14ac:dyDescent="0.3">
      <c r="A80" s="7">
        <v>43899</v>
      </c>
      <c r="B80" s="58">
        <v>12</v>
      </c>
      <c r="C80" s="8">
        <v>312</v>
      </c>
      <c r="D80" s="8"/>
      <c r="E80" s="8"/>
      <c r="F80" s="8"/>
    </row>
    <row r="81" spans="1:6" x14ac:dyDescent="0.3">
      <c r="A81" s="7">
        <v>43900</v>
      </c>
      <c r="B81" s="58">
        <v>89</v>
      </c>
      <c r="C81" s="8">
        <v>401</v>
      </c>
      <c r="D81" s="8"/>
      <c r="E81" s="8"/>
      <c r="F81" s="8"/>
    </row>
    <row r="82" spans="1:6" x14ac:dyDescent="0.3">
      <c r="A82" s="7">
        <v>43901</v>
      </c>
      <c r="B82" s="58">
        <v>83</v>
      </c>
      <c r="C82" s="8">
        <v>484</v>
      </c>
      <c r="D82" s="8"/>
      <c r="E82" s="8"/>
      <c r="F82" s="8"/>
    </row>
    <row r="83" spans="1:6" x14ac:dyDescent="0.3">
      <c r="A83" s="7">
        <v>43902</v>
      </c>
      <c r="B83" s="58">
        <v>31</v>
      </c>
      <c r="C83" s="8">
        <v>515</v>
      </c>
      <c r="D83" s="8"/>
      <c r="E83" s="8"/>
      <c r="F83" s="8"/>
    </row>
    <row r="84" spans="1:6" x14ac:dyDescent="0.3">
      <c r="A84" s="7">
        <v>43903</v>
      </c>
      <c r="B84" s="58">
        <v>35</v>
      </c>
      <c r="C84" s="8">
        <v>550</v>
      </c>
      <c r="D84" s="8"/>
      <c r="E84" s="8"/>
      <c r="F84" s="8"/>
    </row>
    <row r="85" spans="1:6" x14ac:dyDescent="0.3">
      <c r="A85" s="7">
        <v>43904</v>
      </c>
      <c r="B85" s="58">
        <v>34</v>
      </c>
      <c r="C85" s="8">
        <v>584</v>
      </c>
      <c r="D85" s="8"/>
      <c r="E85" s="8"/>
      <c r="F85" s="8"/>
    </row>
    <row r="86" spans="1:6" x14ac:dyDescent="0.3">
      <c r="A86" s="7">
        <v>43905</v>
      </c>
      <c r="B86" s="58">
        <v>142</v>
      </c>
      <c r="C86" s="8">
        <v>726</v>
      </c>
      <c r="D86" s="8"/>
      <c r="E86" s="8"/>
      <c r="F86" s="8"/>
    </row>
    <row r="87" spans="1:6" x14ac:dyDescent="0.3">
      <c r="A87" s="7">
        <v>43906</v>
      </c>
      <c r="B87" s="58">
        <v>325</v>
      </c>
      <c r="C87" s="8">
        <v>1051</v>
      </c>
      <c r="D87" s="8"/>
      <c r="E87" s="8"/>
      <c r="F87" s="8"/>
    </row>
    <row r="88" spans="1:6" x14ac:dyDescent="0.3">
      <c r="A88" s="7">
        <v>43907</v>
      </c>
      <c r="B88" s="58">
        <v>659</v>
      </c>
      <c r="C88" s="8">
        <v>1710</v>
      </c>
      <c r="D88" s="8"/>
      <c r="E88" s="8"/>
      <c r="F88" s="8"/>
    </row>
    <row r="89" spans="1:6" x14ac:dyDescent="0.3">
      <c r="A89" s="7">
        <v>43908</v>
      </c>
      <c r="B89" s="58">
        <v>1209</v>
      </c>
      <c r="C89" s="8">
        <v>2919</v>
      </c>
      <c r="D89" s="8"/>
      <c r="E89" s="8"/>
      <c r="F89" s="8"/>
    </row>
    <row r="90" spans="1:6" x14ac:dyDescent="0.3">
      <c r="A90" s="7">
        <v>43909</v>
      </c>
      <c r="B90" s="58">
        <v>1291</v>
      </c>
      <c r="C90" s="8">
        <v>4210</v>
      </c>
      <c r="D90" s="8"/>
      <c r="E90" s="8"/>
      <c r="F90" s="8"/>
    </row>
    <row r="91" spans="1:6" x14ac:dyDescent="0.3">
      <c r="A91" s="7">
        <v>43910</v>
      </c>
      <c r="B91" s="58">
        <v>1554</v>
      </c>
      <c r="C91" s="8">
        <v>5764</v>
      </c>
      <c r="D91" s="8"/>
      <c r="E91" s="8"/>
      <c r="F91" s="8"/>
    </row>
    <row r="92" spans="1:6" x14ac:dyDescent="0.3">
      <c r="A92" s="7">
        <v>43911</v>
      </c>
      <c r="B92" s="58">
        <v>1176</v>
      </c>
      <c r="C92" s="8">
        <v>6940</v>
      </c>
      <c r="D92" s="8"/>
      <c r="E92" s="8"/>
      <c r="F92" s="8"/>
    </row>
    <row r="93" spans="1:6" x14ac:dyDescent="0.3">
      <c r="A93" s="7">
        <v>43912</v>
      </c>
      <c r="B93" s="8">
        <v>1256</v>
      </c>
      <c r="C93">
        <v>8196</v>
      </c>
    </row>
    <row r="94" spans="1:6" x14ac:dyDescent="0.3">
      <c r="A94" s="7">
        <v>43913</v>
      </c>
      <c r="B94" s="58">
        <v>1050</v>
      </c>
      <c r="C94" s="8">
        <v>9246</v>
      </c>
      <c r="D94" s="8"/>
      <c r="E94" s="8"/>
      <c r="F94" s="8"/>
    </row>
    <row r="95" spans="1:6" x14ac:dyDescent="0.3">
      <c r="A95" s="7">
        <v>43914</v>
      </c>
      <c r="B95" s="58">
        <v>1544</v>
      </c>
      <c r="C95" s="8">
        <v>10790</v>
      </c>
      <c r="D95" s="8"/>
      <c r="E95" s="8"/>
      <c r="F95" s="8"/>
    </row>
    <row r="96" spans="1:6" x14ac:dyDescent="0.3">
      <c r="A96" s="7">
        <v>43915</v>
      </c>
      <c r="B96" s="8">
        <v>2592</v>
      </c>
      <c r="C96">
        <v>13382</v>
      </c>
    </row>
    <row r="97" spans="1:6" x14ac:dyDescent="0.3">
      <c r="A97" s="7">
        <v>43916</v>
      </c>
      <c r="B97" s="58">
        <v>2117</v>
      </c>
      <c r="C97" s="8">
        <v>15499</v>
      </c>
      <c r="D97" s="8"/>
      <c r="E97" s="8"/>
      <c r="F97" s="8"/>
    </row>
    <row r="98" spans="1:6" x14ac:dyDescent="0.3">
      <c r="A98" s="7">
        <v>43917</v>
      </c>
      <c r="B98" s="8">
        <v>2067</v>
      </c>
      <c r="C98">
        <v>17566</v>
      </c>
    </row>
    <row r="99" spans="1:6" x14ac:dyDescent="0.3">
      <c r="A99" s="7">
        <v>43918</v>
      </c>
      <c r="B99" s="58">
        <v>1809</v>
      </c>
      <c r="C99" s="8">
        <v>19375</v>
      </c>
      <c r="D99" s="8"/>
      <c r="E99" s="8"/>
      <c r="F99" s="8"/>
    </row>
    <row r="100" spans="1:6" x14ac:dyDescent="0.3">
      <c r="A100" s="7">
        <v>43919</v>
      </c>
      <c r="B100" s="8">
        <v>918</v>
      </c>
      <c r="C100">
        <v>20293</v>
      </c>
    </row>
    <row r="101" spans="1:6" x14ac:dyDescent="0.3">
      <c r="A101" s="7">
        <v>43920</v>
      </c>
      <c r="B101" s="8">
        <v>1391</v>
      </c>
      <c r="C101">
        <v>21684</v>
      </c>
    </row>
    <row r="102" spans="1:6" x14ac:dyDescent="0.3">
      <c r="A102" s="7">
        <v>43921</v>
      </c>
      <c r="B102" s="8">
        <v>2093</v>
      </c>
      <c r="C102">
        <v>23777</v>
      </c>
    </row>
    <row r="103" spans="1:6" x14ac:dyDescent="0.3">
      <c r="A103" s="7">
        <v>43922</v>
      </c>
      <c r="B103" s="8">
        <v>2562</v>
      </c>
      <c r="C103" s="5">
        <v>26339</v>
      </c>
    </row>
    <row r="104" spans="1:6" x14ac:dyDescent="0.3">
      <c r="A104" s="7">
        <v>43923</v>
      </c>
      <c r="B104" s="8">
        <v>3446</v>
      </c>
      <c r="C104">
        <v>29785</v>
      </c>
    </row>
    <row r="105" spans="1:6" x14ac:dyDescent="0.3">
      <c r="A105" s="7">
        <v>43924</v>
      </c>
      <c r="B105" s="8">
        <v>3631</v>
      </c>
      <c r="C105">
        <v>33416</v>
      </c>
    </row>
    <row r="106" spans="1:6" x14ac:dyDescent="0.3">
      <c r="A106" s="7">
        <v>43925</v>
      </c>
      <c r="B106" s="8">
        <v>3093</v>
      </c>
      <c r="C106">
        <v>36509</v>
      </c>
    </row>
    <row r="107" spans="1:6" x14ac:dyDescent="0.3">
      <c r="A107" s="7">
        <v>43926</v>
      </c>
      <c r="B107" s="8">
        <v>3709</v>
      </c>
      <c r="C107">
        <v>40218</v>
      </c>
    </row>
    <row r="108" spans="1:6" x14ac:dyDescent="0.3">
      <c r="A108" s="7">
        <v>43927</v>
      </c>
      <c r="B108" s="8">
        <v>2908</v>
      </c>
      <c r="C108">
        <v>43126</v>
      </c>
    </row>
    <row r="109" spans="1:6" x14ac:dyDescent="0.3">
      <c r="A109" s="7">
        <v>43928</v>
      </c>
      <c r="B109" s="8">
        <v>4049</v>
      </c>
      <c r="C109">
        <v>47175</v>
      </c>
    </row>
    <row r="110" spans="1:6" x14ac:dyDescent="0.3">
      <c r="A110" s="7">
        <v>43929</v>
      </c>
      <c r="B110" s="8">
        <v>3990</v>
      </c>
      <c r="C110">
        <v>51165</v>
      </c>
    </row>
    <row r="111" spans="1:6" x14ac:dyDescent="0.3">
      <c r="A111" s="7">
        <v>43930</v>
      </c>
      <c r="B111" s="8">
        <v>4520</v>
      </c>
      <c r="C111">
        <v>55685</v>
      </c>
    </row>
    <row r="112" spans="1:6" x14ac:dyDescent="0.3">
      <c r="A112" s="7">
        <v>43931</v>
      </c>
      <c r="B112" s="8">
        <v>3061</v>
      </c>
      <c r="C112">
        <v>58746</v>
      </c>
    </row>
    <row r="113" spans="1:3" x14ac:dyDescent="0.3">
      <c r="A113" s="7">
        <v>43932</v>
      </c>
      <c r="B113" s="8">
        <v>2421</v>
      </c>
      <c r="C113">
        <v>61167</v>
      </c>
    </row>
    <row r="114" spans="1:3" x14ac:dyDescent="0.3">
      <c r="A114" s="7">
        <v>43933</v>
      </c>
      <c r="B114" s="8">
        <v>1660</v>
      </c>
      <c r="C114" s="5">
        <v>62827</v>
      </c>
    </row>
    <row r="115" spans="1:3" x14ac:dyDescent="0.3">
      <c r="A115" s="7">
        <v>43934</v>
      </c>
      <c r="B115" s="8">
        <v>1572</v>
      </c>
      <c r="C115">
        <v>64399</v>
      </c>
    </row>
    <row r="116" spans="1:3" x14ac:dyDescent="0.3">
      <c r="A116" s="7">
        <v>43935</v>
      </c>
      <c r="B116" s="8">
        <v>2100</v>
      </c>
      <c r="C116">
        <v>66499</v>
      </c>
    </row>
    <row r="117" spans="1:3" x14ac:dyDescent="0.3">
      <c r="A117" s="7">
        <v>43936</v>
      </c>
      <c r="B117" s="8">
        <v>3661</v>
      </c>
      <c r="C117">
        <v>70160</v>
      </c>
    </row>
    <row r="118" spans="1:3" x14ac:dyDescent="0.3">
      <c r="A118" s="7">
        <v>43937</v>
      </c>
      <c r="B118" s="8">
        <v>4241</v>
      </c>
      <c r="C118">
        <v>74401</v>
      </c>
    </row>
    <row r="119" spans="1:3" x14ac:dyDescent="0.3">
      <c r="A119" s="7">
        <v>43938</v>
      </c>
      <c r="B119" s="8">
        <v>4677</v>
      </c>
      <c r="C119">
        <v>79078</v>
      </c>
    </row>
    <row r="120" spans="1:3" x14ac:dyDescent="0.3">
      <c r="A120" s="7">
        <v>43939</v>
      </c>
      <c r="B120" s="8">
        <v>4146</v>
      </c>
      <c r="C120">
        <v>83224</v>
      </c>
    </row>
    <row r="121" spans="1:3" x14ac:dyDescent="0.3">
      <c r="A121" s="7">
        <v>43940</v>
      </c>
      <c r="B121" s="8">
        <v>3081</v>
      </c>
      <c r="C121">
        <v>86305</v>
      </c>
    </row>
    <row r="122" spans="1:3" x14ac:dyDescent="0.3">
      <c r="A122" s="7">
        <v>43941</v>
      </c>
      <c r="B122" s="8">
        <v>3203</v>
      </c>
      <c r="C122">
        <v>89508</v>
      </c>
    </row>
    <row r="123" spans="1:3" x14ac:dyDescent="0.3">
      <c r="A123" s="7">
        <v>43942</v>
      </c>
      <c r="B123" s="8">
        <v>5289</v>
      </c>
      <c r="C123">
        <v>94797</v>
      </c>
    </row>
    <row r="124" spans="1:3" x14ac:dyDescent="0.3">
      <c r="A124" s="7">
        <v>43943</v>
      </c>
      <c r="B124" s="8">
        <v>6480</v>
      </c>
      <c r="C124">
        <v>101277</v>
      </c>
    </row>
    <row r="125" spans="1:3" x14ac:dyDescent="0.3">
      <c r="A125" s="7">
        <v>43944</v>
      </c>
      <c r="B125" s="8">
        <v>6961</v>
      </c>
      <c r="C125">
        <v>108238</v>
      </c>
    </row>
    <row r="126" spans="1:3" x14ac:dyDescent="0.3">
      <c r="A126" s="7">
        <v>43945</v>
      </c>
      <c r="B126" s="8">
        <v>6777</v>
      </c>
      <c r="C126" s="5">
        <v>115015</v>
      </c>
    </row>
    <row r="127" spans="1:3" x14ac:dyDescent="0.3">
      <c r="A127" s="7">
        <v>43946</v>
      </c>
      <c r="B127" s="8">
        <v>5966</v>
      </c>
      <c r="C127">
        <v>120981</v>
      </c>
    </row>
    <row r="128" spans="1:3" x14ac:dyDescent="0.3">
      <c r="A128" s="7">
        <v>43947</v>
      </c>
      <c r="B128" s="8">
        <v>2939</v>
      </c>
      <c r="C128">
        <v>123920</v>
      </c>
    </row>
    <row r="129" spans="1:3" x14ac:dyDescent="0.3">
      <c r="A129" s="7">
        <v>43948</v>
      </c>
      <c r="B129" s="8">
        <v>2146</v>
      </c>
      <c r="C129">
        <v>126066</v>
      </c>
    </row>
    <row r="130" spans="1:3" x14ac:dyDescent="0.3">
      <c r="A130" s="7">
        <v>43949</v>
      </c>
      <c r="B130" s="8">
        <v>2637</v>
      </c>
      <c r="C130">
        <v>128703</v>
      </c>
    </row>
    <row r="131" spans="1:3" x14ac:dyDescent="0.3">
      <c r="A131" s="7">
        <v>43950</v>
      </c>
      <c r="B131" s="8">
        <v>5867</v>
      </c>
      <c r="C131">
        <v>134570</v>
      </c>
    </row>
    <row r="132" spans="1:3" x14ac:dyDescent="0.3">
      <c r="A132" s="7">
        <v>43951</v>
      </c>
      <c r="B132" s="8">
        <v>5328</v>
      </c>
      <c r="C132">
        <v>139898</v>
      </c>
    </row>
    <row r="133" spans="1:3" x14ac:dyDescent="0.3">
      <c r="A133" s="7">
        <v>43952</v>
      </c>
      <c r="B133" s="8">
        <v>5691</v>
      </c>
      <c r="C133">
        <v>145589</v>
      </c>
    </row>
    <row r="134" spans="1:3" x14ac:dyDescent="0.3">
      <c r="A134" s="7">
        <v>43953</v>
      </c>
      <c r="B134" s="8">
        <v>4634</v>
      </c>
      <c r="C134">
        <v>150223</v>
      </c>
    </row>
    <row r="135" spans="1:3" x14ac:dyDescent="0.3">
      <c r="A135" s="7">
        <v>43954</v>
      </c>
      <c r="B135" s="8">
        <v>2473</v>
      </c>
      <c r="C135">
        <v>152696</v>
      </c>
    </row>
    <row r="136" spans="1:3" x14ac:dyDescent="0.3">
      <c r="A136" s="7">
        <v>43955</v>
      </c>
      <c r="B136" s="8">
        <v>3232</v>
      </c>
      <c r="C136">
        <v>155928</v>
      </c>
    </row>
    <row r="137" spans="1:3" x14ac:dyDescent="0.3">
      <c r="A137" s="7">
        <v>43956</v>
      </c>
      <c r="B137" s="8">
        <v>4772</v>
      </c>
      <c r="C137">
        <v>160700</v>
      </c>
    </row>
    <row r="138" spans="1:3" x14ac:dyDescent="0.3">
      <c r="A138" s="7">
        <v>43957</v>
      </c>
      <c r="B138" s="8">
        <v>7323</v>
      </c>
      <c r="C138">
        <v>168023</v>
      </c>
    </row>
    <row r="139" spans="1:3" x14ac:dyDescent="0.3">
      <c r="A139" s="7">
        <v>43958</v>
      </c>
      <c r="B139" s="8">
        <v>7812</v>
      </c>
      <c r="C139">
        <v>175835</v>
      </c>
    </row>
    <row r="140" spans="1:3" x14ac:dyDescent="0.3">
      <c r="A140" s="7">
        <v>43959</v>
      </c>
      <c r="B140" s="8">
        <v>7204</v>
      </c>
      <c r="C140">
        <v>183039</v>
      </c>
    </row>
    <row r="141" spans="1:3" x14ac:dyDescent="0.3">
      <c r="A141" s="7">
        <v>43960</v>
      </c>
      <c r="B141" s="8">
        <v>7287</v>
      </c>
      <c r="C141">
        <v>190326</v>
      </c>
    </row>
    <row r="142" spans="1:3" x14ac:dyDescent="0.3">
      <c r="A142" s="7">
        <v>43961</v>
      </c>
      <c r="B142" s="8">
        <v>3865</v>
      </c>
      <c r="C142">
        <v>194191</v>
      </c>
    </row>
    <row r="143" spans="1:3" x14ac:dyDescent="0.3">
      <c r="A143" s="7">
        <v>43962</v>
      </c>
      <c r="B143" s="8">
        <v>2893</v>
      </c>
      <c r="C143">
        <v>197084</v>
      </c>
    </row>
    <row r="144" spans="1:3" x14ac:dyDescent="0.3">
      <c r="A144" s="7">
        <v>43963</v>
      </c>
      <c r="B144" s="8">
        <v>5961</v>
      </c>
      <c r="C144">
        <v>203045</v>
      </c>
    </row>
    <row r="145" spans="1:3" x14ac:dyDescent="0.3">
      <c r="A145" s="7">
        <v>43964</v>
      </c>
      <c r="B145" s="8">
        <v>7019</v>
      </c>
      <c r="C145">
        <v>210064</v>
      </c>
    </row>
    <row r="146" spans="1:3" x14ac:dyDescent="0.3">
      <c r="A146" s="7">
        <v>43965</v>
      </c>
      <c r="B146" s="8">
        <v>6723</v>
      </c>
      <c r="C146">
        <v>216787</v>
      </c>
    </row>
    <row r="147" spans="1:3" x14ac:dyDescent="0.3">
      <c r="A147" s="7">
        <v>43966</v>
      </c>
      <c r="B147" s="8">
        <v>7150</v>
      </c>
      <c r="C147">
        <v>223937</v>
      </c>
    </row>
    <row r="148" spans="1:3" x14ac:dyDescent="0.3">
      <c r="A148" s="7">
        <v>43967</v>
      </c>
      <c r="B148" s="8">
        <v>4211</v>
      </c>
      <c r="C148">
        <v>228148</v>
      </c>
    </row>
    <row r="149" spans="1:3" x14ac:dyDescent="0.3">
      <c r="A149" s="7">
        <v>43968</v>
      </c>
      <c r="B149" s="8">
        <v>2570</v>
      </c>
      <c r="C149">
        <v>230718</v>
      </c>
    </row>
    <row r="150" spans="1:3" x14ac:dyDescent="0.3">
      <c r="A150" s="7">
        <v>43969</v>
      </c>
      <c r="B150" s="8">
        <v>3125</v>
      </c>
      <c r="C150">
        <v>233843</v>
      </c>
    </row>
    <row r="151" spans="1:3" x14ac:dyDescent="0.3">
      <c r="A151" s="7">
        <v>43970</v>
      </c>
      <c r="B151" s="8">
        <v>4882</v>
      </c>
      <c r="C151">
        <v>238725</v>
      </c>
    </row>
    <row r="152" spans="1:3" x14ac:dyDescent="0.3">
      <c r="A152" s="7">
        <v>43971</v>
      </c>
      <c r="B152" s="8">
        <v>6113</v>
      </c>
      <c r="C152">
        <v>244838</v>
      </c>
    </row>
    <row r="153" spans="1:3" x14ac:dyDescent="0.3">
      <c r="A153" s="7">
        <v>43972</v>
      </c>
      <c r="B153" s="8">
        <v>5408</v>
      </c>
      <c r="C153">
        <v>250246</v>
      </c>
    </row>
    <row r="154" spans="1:3" x14ac:dyDescent="0.3">
      <c r="A154" s="7">
        <v>43973</v>
      </c>
      <c r="B154" s="8">
        <v>5604</v>
      </c>
      <c r="C154">
        <v>255850</v>
      </c>
    </row>
    <row r="155" spans="1:3" x14ac:dyDescent="0.3">
      <c r="A155" s="7">
        <v>43974</v>
      </c>
      <c r="B155" s="8">
        <v>3302</v>
      </c>
      <c r="C155">
        <v>259152</v>
      </c>
    </row>
    <row r="156" spans="1:3" x14ac:dyDescent="0.3">
      <c r="A156" s="7">
        <v>43975</v>
      </c>
      <c r="B156" s="8">
        <v>2163</v>
      </c>
      <c r="C156">
        <v>261315</v>
      </c>
    </row>
    <row r="157" spans="1:3" x14ac:dyDescent="0.3">
      <c r="A157" s="7">
        <v>43976</v>
      </c>
      <c r="B157" s="8">
        <v>1841</v>
      </c>
      <c r="C157">
        <v>263156</v>
      </c>
    </row>
    <row r="158" spans="1:3" x14ac:dyDescent="0.3">
      <c r="A158" s="7">
        <v>43977</v>
      </c>
      <c r="B158" s="8">
        <v>4279</v>
      </c>
      <c r="C158">
        <v>267435</v>
      </c>
    </row>
    <row r="159" spans="1:3" x14ac:dyDescent="0.3">
      <c r="A159" s="7">
        <v>43978</v>
      </c>
      <c r="B159" s="8">
        <v>4255</v>
      </c>
      <c r="C159">
        <v>271690</v>
      </c>
    </row>
    <row r="160" spans="1:3" x14ac:dyDescent="0.3">
      <c r="A160" s="7">
        <v>43979</v>
      </c>
      <c r="B160" s="8">
        <v>4162</v>
      </c>
      <c r="C160">
        <v>275852</v>
      </c>
    </row>
    <row r="161" spans="1:3" x14ac:dyDescent="0.3">
      <c r="A161" s="7">
        <v>43980</v>
      </c>
      <c r="B161" s="8">
        <v>3020</v>
      </c>
      <c r="C161">
        <v>278872</v>
      </c>
    </row>
    <row r="162" spans="1:3" x14ac:dyDescent="0.3">
      <c r="A162" s="7">
        <v>43981</v>
      </c>
      <c r="B162" s="8">
        <v>2111</v>
      </c>
      <c r="C162">
        <v>280983</v>
      </c>
    </row>
    <row r="163" spans="1:3" x14ac:dyDescent="0.3">
      <c r="A163" s="7">
        <v>43982</v>
      </c>
      <c r="B163" s="8">
        <v>626</v>
      </c>
      <c r="C163">
        <v>281609</v>
      </c>
    </row>
    <row r="164" spans="1:3" x14ac:dyDescent="0.3">
      <c r="A164" s="7">
        <v>43983</v>
      </c>
      <c r="B164" s="8">
        <v>654</v>
      </c>
      <c r="C164">
        <v>282263</v>
      </c>
    </row>
    <row r="165" spans="1:3" x14ac:dyDescent="0.3">
      <c r="A165" s="7">
        <v>43984</v>
      </c>
      <c r="B165" s="8">
        <v>1262</v>
      </c>
      <c r="C165">
        <v>283525</v>
      </c>
    </row>
    <row r="166" spans="1:3" x14ac:dyDescent="0.3">
      <c r="A166" s="7">
        <v>43985</v>
      </c>
      <c r="B166" s="8">
        <v>2649</v>
      </c>
      <c r="C166">
        <v>286174</v>
      </c>
    </row>
    <row r="167" spans="1:3" x14ac:dyDescent="0.3">
      <c r="A167" s="7">
        <v>43986</v>
      </c>
      <c r="B167" s="8">
        <v>2813</v>
      </c>
      <c r="C167">
        <v>288987</v>
      </c>
    </row>
    <row r="168" spans="1:3" x14ac:dyDescent="0.3">
      <c r="A168" s="7">
        <v>43987</v>
      </c>
      <c r="B168" s="8">
        <v>3007</v>
      </c>
      <c r="C168">
        <v>291994</v>
      </c>
    </row>
    <row r="169" spans="1:3" x14ac:dyDescent="0.3">
      <c r="A169" s="7">
        <v>43988</v>
      </c>
      <c r="B169" s="8">
        <v>2054</v>
      </c>
      <c r="C169">
        <v>294048</v>
      </c>
    </row>
    <row r="170" spans="1:3" x14ac:dyDescent="0.3">
      <c r="A170" s="7">
        <v>43989</v>
      </c>
      <c r="B170" s="8">
        <v>800</v>
      </c>
      <c r="C170">
        <v>294848</v>
      </c>
    </row>
    <row r="171" spans="1:3" x14ac:dyDescent="0.3">
      <c r="A171" s="7">
        <v>43990</v>
      </c>
      <c r="B171" s="8">
        <v>1053</v>
      </c>
      <c r="C171">
        <v>295901</v>
      </c>
    </row>
    <row r="172" spans="1:3" x14ac:dyDescent="0.3">
      <c r="A172" s="7">
        <v>43991</v>
      </c>
      <c r="B172" s="8">
        <v>2631</v>
      </c>
      <c r="C172">
        <v>298532</v>
      </c>
    </row>
    <row r="173" spans="1:3" x14ac:dyDescent="0.3">
      <c r="A173" s="7">
        <v>43992</v>
      </c>
      <c r="B173" s="8">
        <v>3350</v>
      </c>
      <c r="C173">
        <v>301882</v>
      </c>
    </row>
    <row r="174" spans="1:3" x14ac:dyDescent="0.3">
      <c r="A174" s="7">
        <v>43993</v>
      </c>
      <c r="B174" s="8">
        <v>2950</v>
      </c>
      <c r="C174">
        <v>304832</v>
      </c>
    </row>
    <row r="175" spans="1:3" x14ac:dyDescent="0.3">
      <c r="A175" s="7">
        <v>43994</v>
      </c>
      <c r="B175" s="8">
        <v>2978</v>
      </c>
      <c r="C175">
        <v>307810</v>
      </c>
    </row>
    <row r="176" spans="1:3" x14ac:dyDescent="0.3">
      <c r="A176" s="7">
        <v>43995</v>
      </c>
      <c r="B176" s="8">
        <v>2487</v>
      </c>
      <c r="C176">
        <v>310297</v>
      </c>
    </row>
    <row r="177" spans="1:3" x14ac:dyDescent="0.3">
      <c r="A177" s="7">
        <v>43996</v>
      </c>
      <c r="B177" s="8">
        <v>824</v>
      </c>
      <c r="C177">
        <v>311121</v>
      </c>
    </row>
    <row r="178" spans="1:3" x14ac:dyDescent="0.3">
      <c r="A178" s="7">
        <v>43997</v>
      </c>
      <c r="B178" s="8">
        <v>1527</v>
      </c>
      <c r="C178">
        <v>312648</v>
      </c>
    </row>
    <row r="179" spans="1:3" x14ac:dyDescent="0.3">
      <c r="A179" s="7">
        <v>43998</v>
      </c>
      <c r="B179" s="8">
        <v>3603</v>
      </c>
      <c r="C179">
        <v>316251</v>
      </c>
    </row>
    <row r="180" spans="1:3" x14ac:dyDescent="0.3">
      <c r="A180" s="7">
        <v>43999</v>
      </c>
      <c r="B180" s="8">
        <v>4936</v>
      </c>
      <c r="C180">
        <v>321187</v>
      </c>
    </row>
    <row r="181" spans="1:3" x14ac:dyDescent="0.3">
      <c r="A181" s="7">
        <v>44000</v>
      </c>
      <c r="B181" s="8">
        <v>6273</v>
      </c>
      <c r="C181">
        <v>327460</v>
      </c>
    </row>
    <row r="182" spans="1:3" x14ac:dyDescent="0.3">
      <c r="A182" s="7">
        <v>44001</v>
      </c>
      <c r="B182" s="8">
        <v>7707</v>
      </c>
      <c r="C182">
        <v>335167</v>
      </c>
    </row>
    <row r="183" spans="1:3" x14ac:dyDescent="0.3">
      <c r="A183" s="7">
        <v>44002</v>
      </c>
      <c r="B183" s="8">
        <v>5950</v>
      </c>
      <c r="C183">
        <v>341117</v>
      </c>
    </row>
    <row r="184" spans="1:3" x14ac:dyDescent="0.3">
      <c r="A184" s="7">
        <v>44003</v>
      </c>
      <c r="B184" s="8">
        <v>3402</v>
      </c>
      <c r="C184">
        <v>344519</v>
      </c>
    </row>
    <row r="185" spans="1:3" x14ac:dyDescent="0.3">
      <c r="A185" s="7">
        <v>44004</v>
      </c>
      <c r="B185" s="8">
        <v>4303</v>
      </c>
      <c r="C185">
        <v>348822</v>
      </c>
    </row>
    <row r="186" spans="1:3" x14ac:dyDescent="0.3">
      <c r="A186" s="7">
        <v>44005</v>
      </c>
      <c r="B186" s="8">
        <v>9174</v>
      </c>
      <c r="C186">
        <v>357996</v>
      </c>
    </row>
    <row r="187" spans="1:3" x14ac:dyDescent="0.3">
      <c r="A187" s="7">
        <v>44006</v>
      </c>
      <c r="B187" s="8">
        <v>10436</v>
      </c>
      <c r="C187">
        <v>368432</v>
      </c>
    </row>
    <row r="188" spans="1:3" x14ac:dyDescent="0.3">
      <c r="A188" s="7">
        <v>44007</v>
      </c>
      <c r="B188" s="8">
        <v>9825</v>
      </c>
      <c r="C188">
        <v>378257</v>
      </c>
    </row>
    <row r="189" spans="1:3" x14ac:dyDescent="0.3">
      <c r="A189" s="7">
        <v>44008</v>
      </c>
      <c r="B189" s="8">
        <v>9178</v>
      </c>
      <c r="C189">
        <v>387435</v>
      </c>
    </row>
    <row r="190" spans="1:3" x14ac:dyDescent="0.3">
      <c r="A190" s="7">
        <v>44009</v>
      </c>
      <c r="B190" s="8">
        <v>5321</v>
      </c>
      <c r="C190">
        <v>392756</v>
      </c>
    </row>
    <row r="191" spans="1:3" x14ac:dyDescent="0.3">
      <c r="A191" s="7">
        <v>44010</v>
      </c>
      <c r="B191" s="8">
        <v>2754</v>
      </c>
      <c r="C191">
        <v>395510</v>
      </c>
    </row>
    <row r="192" spans="1:3" x14ac:dyDescent="0.3">
      <c r="A192" s="7">
        <v>44011</v>
      </c>
      <c r="B192" s="8">
        <v>1960</v>
      </c>
      <c r="C192">
        <v>397470</v>
      </c>
    </row>
    <row r="193" spans="1:3" x14ac:dyDescent="0.3">
      <c r="A193" s="7">
        <v>44012</v>
      </c>
      <c r="B193" s="8">
        <v>4530</v>
      </c>
      <c r="C193">
        <v>402000</v>
      </c>
    </row>
    <row r="194" spans="1:3" x14ac:dyDescent="0.3">
      <c r="A194" s="7">
        <v>44013</v>
      </c>
      <c r="B194" s="8">
        <v>3329</v>
      </c>
      <c r="C194">
        <v>405329</v>
      </c>
    </row>
    <row r="195" spans="1:3" x14ac:dyDescent="0.3">
      <c r="A195" s="7">
        <v>44014</v>
      </c>
      <c r="B195" s="8">
        <v>3703</v>
      </c>
      <c r="C195">
        <v>409032</v>
      </c>
    </row>
    <row r="196" spans="1:3" x14ac:dyDescent="0.3">
      <c r="A196" s="7">
        <v>44015</v>
      </c>
      <c r="B196" s="8">
        <v>2900</v>
      </c>
      <c r="C196">
        <v>411932</v>
      </c>
    </row>
    <row r="197" spans="1:3" x14ac:dyDescent="0.3">
      <c r="A197" s="7">
        <v>44016</v>
      </c>
      <c r="B197" s="8">
        <v>2294</v>
      </c>
      <c r="C197">
        <v>414226</v>
      </c>
    </row>
    <row r="198" spans="1:3" x14ac:dyDescent="0.3">
      <c r="A198" s="7">
        <v>44017</v>
      </c>
      <c r="B198" s="8">
        <v>1057</v>
      </c>
      <c r="C198">
        <v>415283</v>
      </c>
    </row>
    <row r="199" spans="1:3" x14ac:dyDescent="0.3">
      <c r="A199" s="7">
        <v>44018</v>
      </c>
      <c r="B199" s="8">
        <v>1641</v>
      </c>
      <c r="C199">
        <v>416924</v>
      </c>
    </row>
    <row r="200" spans="1:3" x14ac:dyDescent="0.3">
      <c r="A200" s="7">
        <v>44019</v>
      </c>
      <c r="B200" s="8">
        <v>2131</v>
      </c>
      <c r="C200">
        <v>419055</v>
      </c>
    </row>
    <row r="201" spans="1:3" x14ac:dyDescent="0.3">
      <c r="A201" s="7">
        <v>44020</v>
      </c>
      <c r="B201" s="8">
        <v>3089</v>
      </c>
      <c r="C201">
        <v>422144</v>
      </c>
    </row>
    <row r="202" spans="1:3" x14ac:dyDescent="0.3">
      <c r="A202" s="7">
        <v>44021</v>
      </c>
      <c r="B202" s="8">
        <v>2575</v>
      </c>
      <c r="C202">
        <v>424719</v>
      </c>
    </row>
    <row r="203" spans="1:3" x14ac:dyDescent="0.3">
      <c r="A203" s="7">
        <v>44022</v>
      </c>
      <c r="B203" s="8">
        <v>2057</v>
      </c>
      <c r="C203">
        <v>426776</v>
      </c>
    </row>
    <row r="204" spans="1:3" x14ac:dyDescent="0.3">
      <c r="A204" s="7">
        <v>44023</v>
      </c>
      <c r="B204" s="8">
        <v>1824</v>
      </c>
      <c r="C204">
        <v>428600</v>
      </c>
    </row>
    <row r="205" spans="1:3" x14ac:dyDescent="0.3">
      <c r="A205" s="7">
        <v>44024</v>
      </c>
      <c r="B205" s="8">
        <v>1043</v>
      </c>
      <c r="C205">
        <v>429643</v>
      </c>
    </row>
    <row r="206" spans="1:3" x14ac:dyDescent="0.3">
      <c r="A206" s="7">
        <v>44025</v>
      </c>
      <c r="B206" s="8">
        <v>1620</v>
      </c>
      <c r="C206">
        <v>431263</v>
      </c>
    </row>
    <row r="207" spans="1:3" x14ac:dyDescent="0.3">
      <c r="A207" s="7">
        <v>44026</v>
      </c>
      <c r="B207" s="8">
        <v>2061</v>
      </c>
      <c r="C207">
        <v>433324</v>
      </c>
    </row>
    <row r="208" spans="1:3" x14ac:dyDescent="0.3">
      <c r="A208" s="7">
        <v>44027</v>
      </c>
      <c r="B208" s="8">
        <v>2899</v>
      </c>
      <c r="C208">
        <v>436223</v>
      </c>
    </row>
    <row r="209" spans="1:3" x14ac:dyDescent="0.3">
      <c r="A209" s="7">
        <v>44028</v>
      </c>
      <c r="B209" s="8">
        <v>2497</v>
      </c>
      <c r="C209">
        <v>438720</v>
      </c>
    </row>
    <row r="210" spans="1:3" x14ac:dyDescent="0.3">
      <c r="A210" s="7">
        <v>44029</v>
      </c>
      <c r="B210" s="8">
        <v>2403</v>
      </c>
      <c r="C210">
        <v>441123</v>
      </c>
    </row>
    <row r="211" spans="1:3" x14ac:dyDescent="0.3">
      <c r="A211" s="7">
        <v>44030</v>
      </c>
      <c r="B211" s="8">
        <v>1365</v>
      </c>
      <c r="C211">
        <v>442488</v>
      </c>
    </row>
    <row r="212" spans="1:3" x14ac:dyDescent="0.3">
      <c r="A212" s="7">
        <v>44031</v>
      </c>
      <c r="B212" s="8">
        <v>681</v>
      </c>
      <c r="C212">
        <v>443169</v>
      </c>
    </row>
    <row r="213" spans="1:3" x14ac:dyDescent="0.3">
      <c r="A213" s="7">
        <v>44032</v>
      </c>
      <c r="B213" s="8">
        <v>1007</v>
      </c>
      <c r="C213">
        <v>444176</v>
      </c>
    </row>
    <row r="214" spans="1:3" x14ac:dyDescent="0.3">
      <c r="A214" s="7">
        <v>44033</v>
      </c>
      <c r="B214" s="8">
        <v>2191</v>
      </c>
      <c r="C214">
        <v>446367</v>
      </c>
    </row>
    <row r="215" spans="1:3" x14ac:dyDescent="0.3">
      <c r="A215" s="7">
        <v>44034</v>
      </c>
      <c r="B215" s="8">
        <v>2419</v>
      </c>
      <c r="C215">
        <v>448786</v>
      </c>
    </row>
    <row r="216" spans="1:3" x14ac:dyDescent="0.3">
      <c r="A216" s="7">
        <v>44035</v>
      </c>
      <c r="B216" s="8">
        <v>2830</v>
      </c>
      <c r="C216">
        <v>451616</v>
      </c>
    </row>
    <row r="217" spans="1:3" x14ac:dyDescent="0.3">
      <c r="A217" s="7">
        <v>44036</v>
      </c>
      <c r="B217" s="8">
        <v>2307</v>
      </c>
      <c r="C217">
        <v>453923</v>
      </c>
    </row>
    <row r="218" spans="1:3" x14ac:dyDescent="0.3">
      <c r="A218" s="7">
        <v>44037</v>
      </c>
      <c r="B218" s="8">
        <v>1754</v>
      </c>
      <c r="C218">
        <v>455677</v>
      </c>
    </row>
    <row r="219" spans="1:3" x14ac:dyDescent="0.3">
      <c r="A219" s="7">
        <v>44038</v>
      </c>
      <c r="B219" s="8">
        <v>550</v>
      </c>
      <c r="C219">
        <v>456227</v>
      </c>
    </row>
    <row r="220" spans="1:3" x14ac:dyDescent="0.3">
      <c r="A220" s="7">
        <v>44039</v>
      </c>
      <c r="B220" s="8">
        <v>1107</v>
      </c>
      <c r="C220">
        <v>457334</v>
      </c>
    </row>
    <row r="221" spans="1:3" x14ac:dyDescent="0.3">
      <c r="A221" s="7">
        <v>44040</v>
      </c>
      <c r="B221" s="8">
        <v>2733</v>
      </c>
      <c r="C221">
        <v>460067</v>
      </c>
    </row>
    <row r="222" spans="1:3" x14ac:dyDescent="0.3">
      <c r="A222" s="7">
        <v>44041</v>
      </c>
      <c r="B222" s="8">
        <v>2523</v>
      </c>
      <c r="C222">
        <v>462590</v>
      </c>
    </row>
    <row r="223" spans="1:3" x14ac:dyDescent="0.3">
      <c r="A223" s="7">
        <v>44042</v>
      </c>
      <c r="B223" s="8">
        <v>2476</v>
      </c>
      <c r="C223">
        <v>465066</v>
      </c>
    </row>
    <row r="224" spans="1:3" x14ac:dyDescent="0.3">
      <c r="A224" s="7">
        <v>44043</v>
      </c>
      <c r="B224" s="8">
        <v>3002</v>
      </c>
      <c r="C224">
        <v>468068</v>
      </c>
    </row>
    <row r="225" spans="1:3" x14ac:dyDescent="0.3">
      <c r="A225" s="7">
        <v>44044</v>
      </c>
      <c r="B225" s="8">
        <v>2401</v>
      </c>
      <c r="C225">
        <v>470469</v>
      </c>
    </row>
    <row r="226" spans="1:3" x14ac:dyDescent="0.3">
      <c r="A226" s="7">
        <v>44045</v>
      </c>
      <c r="B226" s="8">
        <v>1692</v>
      </c>
      <c r="C226">
        <v>472161</v>
      </c>
    </row>
    <row r="227" spans="1:3" x14ac:dyDescent="0.3">
      <c r="A227" s="7">
        <v>44046</v>
      </c>
      <c r="B227" s="8">
        <v>1608</v>
      </c>
      <c r="C227">
        <v>473769</v>
      </c>
    </row>
    <row r="228" spans="1:3" x14ac:dyDescent="0.3">
      <c r="A228" s="7">
        <v>44047</v>
      </c>
      <c r="B228" s="8">
        <v>4140</v>
      </c>
      <c r="C228">
        <v>477909</v>
      </c>
    </row>
    <row r="229" spans="1:3" x14ac:dyDescent="0.3">
      <c r="A229" s="7">
        <v>44048</v>
      </c>
      <c r="B229" s="8">
        <v>5020</v>
      </c>
      <c r="C229">
        <v>482929</v>
      </c>
    </row>
    <row r="230" spans="1:3" x14ac:dyDescent="0.3">
      <c r="A230" s="7">
        <v>44049</v>
      </c>
      <c r="B230" s="8">
        <v>4014</v>
      </c>
      <c r="C230">
        <v>486943</v>
      </c>
    </row>
    <row r="231" spans="1:3" x14ac:dyDescent="0.3">
      <c r="A231" s="7">
        <v>44050</v>
      </c>
      <c r="B231" s="8">
        <v>3289</v>
      </c>
      <c r="C231">
        <v>490232</v>
      </c>
    </row>
    <row r="232" spans="1:3" x14ac:dyDescent="0.3">
      <c r="A232" s="7">
        <v>44051</v>
      </c>
      <c r="B232" s="8">
        <v>4249</v>
      </c>
      <c r="C232">
        <v>494481</v>
      </c>
    </row>
    <row r="233" spans="1:3" x14ac:dyDescent="0.3">
      <c r="A233" s="7">
        <v>44052</v>
      </c>
      <c r="B233" s="8">
        <v>2125</v>
      </c>
      <c r="C233">
        <v>496606</v>
      </c>
    </row>
    <row r="234" spans="1:3" x14ac:dyDescent="0.3">
      <c r="A234" s="7">
        <v>44053</v>
      </c>
      <c r="B234" s="8">
        <v>1874</v>
      </c>
      <c r="C234">
        <v>498480</v>
      </c>
    </row>
    <row r="235" spans="1:3" x14ac:dyDescent="0.3">
      <c r="A235" s="7">
        <v>44054</v>
      </c>
      <c r="B235" s="8">
        <v>4225</v>
      </c>
      <c r="C235">
        <v>502705</v>
      </c>
    </row>
    <row r="236" spans="1:3" x14ac:dyDescent="0.3">
      <c r="A236" s="7">
        <v>44055</v>
      </c>
      <c r="B236" s="8">
        <v>6006</v>
      </c>
      <c r="C236">
        <v>508711</v>
      </c>
    </row>
    <row r="237" spans="1:3" x14ac:dyDescent="0.3">
      <c r="A237" s="7">
        <v>44056</v>
      </c>
      <c r="B237" s="8">
        <v>15703</v>
      </c>
      <c r="C237">
        <v>524414</v>
      </c>
    </row>
    <row r="238" spans="1:3" x14ac:dyDescent="0.3">
      <c r="A238" s="7">
        <v>44057</v>
      </c>
      <c r="B238" s="8">
        <v>23846</v>
      </c>
      <c r="C238">
        <v>548260</v>
      </c>
    </row>
    <row r="239" spans="1:3" x14ac:dyDescent="0.3">
      <c r="A239" s="7">
        <v>44058</v>
      </c>
      <c r="B239" s="8">
        <v>23682</v>
      </c>
      <c r="C239">
        <v>571942</v>
      </c>
    </row>
    <row r="240" spans="1:3" x14ac:dyDescent="0.3">
      <c r="A240" s="7">
        <v>44059</v>
      </c>
      <c r="B240" s="8">
        <v>26014</v>
      </c>
      <c r="C240">
        <v>597956</v>
      </c>
    </row>
    <row r="241" spans="1:3" x14ac:dyDescent="0.3">
      <c r="A241" s="7">
        <v>44060</v>
      </c>
      <c r="B241" s="8">
        <v>18421</v>
      </c>
      <c r="C241">
        <v>616377</v>
      </c>
    </row>
    <row r="242" spans="1:3" x14ac:dyDescent="0.3">
      <c r="A242" s="7">
        <v>44061</v>
      </c>
      <c r="B242" s="8">
        <v>23038</v>
      </c>
      <c r="C242">
        <v>639415</v>
      </c>
    </row>
    <row r="243" spans="1:3" x14ac:dyDescent="0.3">
      <c r="A243" s="7">
        <v>44062</v>
      </c>
      <c r="B243" s="8">
        <v>18091</v>
      </c>
      <c r="C243">
        <v>657506</v>
      </c>
    </row>
    <row r="244" spans="1:3" x14ac:dyDescent="0.3">
      <c r="A244" s="7">
        <v>44063</v>
      </c>
      <c r="B244" s="8">
        <v>15714</v>
      </c>
      <c r="C244">
        <v>673220</v>
      </c>
    </row>
    <row r="245" spans="1:3" x14ac:dyDescent="0.3">
      <c r="A245" s="7">
        <v>44064</v>
      </c>
      <c r="B245" s="8">
        <v>12256</v>
      </c>
      <c r="C245">
        <v>685476</v>
      </c>
    </row>
    <row r="246" spans="1:3" x14ac:dyDescent="0.3">
      <c r="A246" s="7">
        <v>44065</v>
      </c>
      <c r="B246" s="8">
        <v>7005</v>
      </c>
      <c r="C246">
        <v>692481</v>
      </c>
    </row>
    <row r="247" spans="1:3" x14ac:dyDescent="0.3">
      <c r="A247" s="7">
        <v>44066</v>
      </c>
      <c r="B247" s="8">
        <v>4589</v>
      </c>
      <c r="C247">
        <v>697070</v>
      </c>
    </row>
    <row r="248" spans="1:3" x14ac:dyDescent="0.3">
      <c r="A248" s="7">
        <v>44067</v>
      </c>
      <c r="B248" s="8">
        <v>4434</v>
      </c>
      <c r="C248">
        <v>701504</v>
      </c>
    </row>
    <row r="249" spans="1:3" x14ac:dyDescent="0.3">
      <c r="A249" s="7">
        <v>44068</v>
      </c>
      <c r="B249" s="8">
        <v>8559</v>
      </c>
      <c r="C249">
        <v>710063</v>
      </c>
    </row>
    <row r="250" spans="1:3" x14ac:dyDescent="0.3">
      <c r="A250" s="7">
        <v>44069</v>
      </c>
      <c r="B250" s="8">
        <v>9257</v>
      </c>
      <c r="C250">
        <v>719320</v>
      </c>
    </row>
    <row r="251" spans="1:3" x14ac:dyDescent="0.3">
      <c r="A251" s="7">
        <v>44070</v>
      </c>
      <c r="B251" s="8">
        <v>11010</v>
      </c>
      <c r="C251">
        <v>730330</v>
      </c>
    </row>
    <row r="252" spans="1:3" x14ac:dyDescent="0.3">
      <c r="A252" s="7">
        <v>44071</v>
      </c>
      <c r="B252" s="8">
        <v>9991</v>
      </c>
      <c r="C252">
        <v>740321</v>
      </c>
    </row>
    <row r="253" spans="1:3" x14ac:dyDescent="0.3">
      <c r="A253" s="7">
        <v>44072</v>
      </c>
      <c r="B253" s="8">
        <v>10487</v>
      </c>
      <c r="C253">
        <v>750808</v>
      </c>
    </row>
    <row r="254" spans="1:3" x14ac:dyDescent="0.3">
      <c r="A254" s="7">
        <v>44073</v>
      </c>
      <c r="B254" s="8">
        <v>7219</v>
      </c>
      <c r="C254">
        <v>758027</v>
      </c>
    </row>
    <row r="255" spans="1:3" x14ac:dyDescent="0.3">
      <c r="A255" s="7">
        <v>44074</v>
      </c>
      <c r="B255" s="8">
        <v>8599</v>
      </c>
      <c r="C255">
        <v>766626</v>
      </c>
    </row>
    <row r="256" spans="1:3" x14ac:dyDescent="0.3">
      <c r="A256" s="7">
        <v>44075</v>
      </c>
      <c r="B256" s="8">
        <v>10934</v>
      </c>
      <c r="C256">
        <v>777560</v>
      </c>
    </row>
    <row r="257" spans="1:3" x14ac:dyDescent="0.3">
      <c r="A257" s="7">
        <v>44076</v>
      </c>
      <c r="B257" s="8">
        <v>10521</v>
      </c>
      <c r="C257">
        <v>788081</v>
      </c>
    </row>
    <row r="258" spans="1:3" x14ac:dyDescent="0.3">
      <c r="A258" s="7">
        <v>44077</v>
      </c>
      <c r="B258" s="8">
        <v>9909</v>
      </c>
      <c r="C258">
        <v>797990</v>
      </c>
    </row>
    <row r="259" spans="1:3" x14ac:dyDescent="0.3">
      <c r="A259" s="7">
        <v>44078</v>
      </c>
      <c r="B259" s="8">
        <v>9470</v>
      </c>
      <c r="C259">
        <v>807460</v>
      </c>
    </row>
    <row r="260" spans="1:3" x14ac:dyDescent="0.3">
      <c r="A260" s="7">
        <v>44079</v>
      </c>
      <c r="B260" s="8">
        <v>7178</v>
      </c>
      <c r="C260">
        <v>814638</v>
      </c>
    </row>
    <row r="261" spans="1:3" x14ac:dyDescent="0.3">
      <c r="A261" s="7">
        <v>44080</v>
      </c>
      <c r="B261" s="8">
        <v>3991</v>
      </c>
      <c r="C261">
        <v>818629</v>
      </c>
    </row>
    <row r="262" spans="1:3" x14ac:dyDescent="0.3">
      <c r="A262" s="7">
        <v>44081</v>
      </c>
      <c r="B262" s="8">
        <v>4525</v>
      </c>
      <c r="C262">
        <v>823154</v>
      </c>
    </row>
    <row r="263" spans="1:3" x14ac:dyDescent="0.3">
      <c r="A263" s="7">
        <v>44082</v>
      </c>
      <c r="B263" s="8">
        <v>8363</v>
      </c>
      <c r="C263">
        <v>831517</v>
      </c>
    </row>
    <row r="264" spans="1:3" x14ac:dyDescent="0.3">
      <c r="A264" s="7">
        <v>44083</v>
      </c>
      <c r="B264" s="8">
        <v>7950</v>
      </c>
      <c r="C264">
        <v>839467</v>
      </c>
    </row>
    <row r="265" spans="1:3" x14ac:dyDescent="0.3">
      <c r="A265" s="7">
        <v>44084</v>
      </c>
      <c r="B265" s="8">
        <v>8953</v>
      </c>
      <c r="C265">
        <v>848420</v>
      </c>
    </row>
    <row r="266" spans="1:3" x14ac:dyDescent="0.3">
      <c r="A266" s="7">
        <v>44085</v>
      </c>
      <c r="B266" s="8">
        <v>8838</v>
      </c>
      <c r="C266">
        <v>857258</v>
      </c>
    </row>
    <row r="267" spans="1:3" x14ac:dyDescent="0.3">
      <c r="A267" s="7">
        <v>44086</v>
      </c>
      <c r="B267" s="8">
        <v>7211</v>
      </c>
      <c r="C267">
        <v>864469</v>
      </c>
    </row>
    <row r="268" spans="1:3" x14ac:dyDescent="0.3">
      <c r="A268" s="7">
        <v>44087</v>
      </c>
      <c r="B268" s="8">
        <v>3573</v>
      </c>
      <c r="C268">
        <v>868042</v>
      </c>
    </row>
    <row r="269" spans="1:3" x14ac:dyDescent="0.3">
      <c r="A269" s="7">
        <v>44088</v>
      </c>
      <c r="B269" s="8">
        <v>4402</v>
      </c>
      <c r="C269">
        <v>872444</v>
      </c>
    </row>
    <row r="270" spans="1:3" x14ac:dyDescent="0.3">
      <c r="A270" s="7">
        <v>44089</v>
      </c>
      <c r="B270" s="8">
        <v>9088</v>
      </c>
      <c r="C270">
        <v>881532</v>
      </c>
    </row>
    <row r="271" spans="1:3" x14ac:dyDescent="0.3">
      <c r="A271" s="7">
        <v>44090</v>
      </c>
      <c r="B271" s="8">
        <v>8185</v>
      </c>
      <c r="C271">
        <v>889717</v>
      </c>
    </row>
    <row r="272" spans="1:3" x14ac:dyDescent="0.3">
      <c r="A272" s="7">
        <v>44091</v>
      </c>
      <c r="B272" s="8">
        <v>7360</v>
      </c>
      <c r="C272">
        <v>897077</v>
      </c>
    </row>
    <row r="273" spans="1:3" x14ac:dyDescent="0.3">
      <c r="A273" s="7">
        <v>44092</v>
      </c>
      <c r="B273" s="8">
        <v>8359</v>
      </c>
      <c r="C273">
        <v>905436</v>
      </c>
    </row>
    <row r="274" spans="1:3" x14ac:dyDescent="0.3">
      <c r="A274" s="7">
        <v>44093</v>
      </c>
      <c r="B274" s="8">
        <v>5417</v>
      </c>
      <c r="C274">
        <v>910853</v>
      </c>
    </row>
    <row r="275" spans="1:3" x14ac:dyDescent="0.3">
      <c r="A275" s="7">
        <v>44094</v>
      </c>
      <c r="B275" s="8">
        <v>3568</v>
      </c>
      <c r="C275">
        <v>914421</v>
      </c>
    </row>
    <row r="276" spans="1:3" x14ac:dyDescent="0.3">
      <c r="A276" s="7">
        <v>44095</v>
      </c>
      <c r="B276" s="8">
        <v>3278</v>
      </c>
      <c r="C276">
        <v>917699</v>
      </c>
    </row>
    <row r="277" spans="1:3" x14ac:dyDescent="0.3">
      <c r="A277" s="7"/>
      <c r="B277" s="8"/>
    </row>
    <row r="278" spans="1:3" x14ac:dyDescent="0.3">
      <c r="A278" s="7" t="s">
        <v>214</v>
      </c>
      <c r="B278" s="8" t="s">
        <v>215</v>
      </c>
    </row>
    <row r="279" spans="1:3" x14ac:dyDescent="0.3">
      <c r="A279" s="7" t="s">
        <v>199</v>
      </c>
      <c r="B279" s="8" t="s">
        <v>216</v>
      </c>
    </row>
    <row r="280" spans="1:3" x14ac:dyDescent="0.3">
      <c r="A280" s="7" t="s">
        <v>217</v>
      </c>
      <c r="B280" s="8" t="s">
        <v>218</v>
      </c>
    </row>
    <row r="281" spans="1:3" x14ac:dyDescent="0.3">
      <c r="A281" s="7" t="s">
        <v>219</v>
      </c>
      <c r="B281" s="8" t="s">
        <v>220</v>
      </c>
    </row>
  </sheetData>
  <sortState xmlns:xlrd2="http://schemas.microsoft.com/office/spreadsheetml/2017/richdata2" ref="A18:H38">
    <sortCondition ref="A18"/>
  </sortState>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37"/>
  <sheetViews>
    <sheetView workbookViewId="0">
      <selection activeCell="E6" sqref="E6"/>
    </sheetView>
  </sheetViews>
  <sheetFormatPr defaultRowHeight="15.05" x14ac:dyDescent="0.3"/>
  <cols>
    <col min="1" max="1" width="43.5546875" bestFit="1" customWidth="1"/>
    <col min="2" max="2" width="41.44140625" bestFit="1" customWidth="1"/>
    <col min="3" max="3" width="37.554687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652</v>
      </c>
    </row>
    <row r="10" spans="1:6" x14ac:dyDescent="0.3">
      <c r="A10" t="s">
        <v>665</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1038</v>
      </c>
    </row>
    <row r="25" spans="1:1" x14ac:dyDescent="0.3">
      <c r="A25" t="s">
        <v>1039</v>
      </c>
    </row>
    <row r="27" spans="1:1" x14ac:dyDescent="0.3">
      <c r="A27" t="s">
        <v>1040</v>
      </c>
    </row>
    <row r="29" spans="1:1" x14ac:dyDescent="0.3">
      <c r="A29" t="s">
        <v>34</v>
      </c>
    </row>
    <row r="31" spans="1:1" x14ac:dyDescent="0.3">
      <c r="A31" t="s">
        <v>35</v>
      </c>
    </row>
    <row r="33" spans="1:5" x14ac:dyDescent="0.3">
      <c r="A33" t="s">
        <v>1019</v>
      </c>
    </row>
    <row r="35" spans="1:5" x14ac:dyDescent="0.3">
      <c r="A35" t="s">
        <v>1020</v>
      </c>
    </row>
    <row r="37" spans="1:5" x14ac:dyDescent="0.3">
      <c r="A37" t="s">
        <v>1041</v>
      </c>
    </row>
    <row r="39" spans="1:5" x14ac:dyDescent="0.3">
      <c r="A39" t="s">
        <v>1013</v>
      </c>
    </row>
    <row r="41" spans="1:5" x14ac:dyDescent="0.3">
      <c r="A41" t="s">
        <v>1021</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1014</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822</v>
      </c>
      <c r="E50" s="5">
        <v>567870</v>
      </c>
    </row>
    <row r="51" spans="1:5" x14ac:dyDescent="0.3">
      <c r="A51" t="s">
        <v>4</v>
      </c>
      <c r="B51" t="s">
        <v>50</v>
      </c>
      <c r="C51" t="s">
        <v>51</v>
      </c>
      <c r="D51" t="s">
        <v>52</v>
      </c>
      <c r="E51" s="5">
        <v>318040</v>
      </c>
    </row>
    <row r="52" spans="1:5" x14ac:dyDescent="0.3">
      <c r="A52" t="s">
        <v>5</v>
      </c>
      <c r="B52" t="s">
        <v>53</v>
      </c>
      <c r="C52" t="s">
        <v>653</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1026</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206</v>
      </c>
      <c r="B61" t="s">
        <v>1017</v>
      </c>
      <c r="C61" t="s">
        <v>1018</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982</v>
      </c>
    </row>
    <row r="77" spans="1:5" x14ac:dyDescent="0.3">
      <c r="A77" t="s">
        <v>100</v>
      </c>
    </row>
    <row r="78" spans="1:5" x14ac:dyDescent="0.3">
      <c r="A78" t="s">
        <v>1022</v>
      </c>
    </row>
    <row r="79" spans="1:5" x14ac:dyDescent="0.3">
      <c r="A79" t="s">
        <v>101</v>
      </c>
    </row>
    <row r="80" spans="1:5" x14ac:dyDescent="0.3">
      <c r="A80" t="s">
        <v>1027</v>
      </c>
    </row>
    <row r="81" spans="1:3" x14ac:dyDescent="0.3">
      <c r="A81" t="s">
        <v>1015</v>
      </c>
    </row>
    <row r="82" spans="1:3" x14ac:dyDescent="0.3">
      <c r="A82" t="s">
        <v>1016</v>
      </c>
    </row>
    <row r="83" spans="1:3" x14ac:dyDescent="0.3">
      <c r="A83" t="s">
        <v>1090</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206</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823</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1033</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1024</v>
      </c>
    </row>
    <row r="177" spans="1:3" x14ac:dyDescent="0.3">
      <c r="A177" t="s">
        <v>1094</v>
      </c>
      <c r="B177" t="s">
        <v>1095</v>
      </c>
    </row>
    <row r="178" spans="1:3" x14ac:dyDescent="0.3">
      <c r="A178" t="s">
        <v>523</v>
      </c>
      <c r="B178" t="s">
        <v>654</v>
      </c>
      <c r="C178" t="s">
        <v>524</v>
      </c>
    </row>
    <row r="179" spans="1:3" x14ac:dyDescent="0.3">
      <c r="C179" t="s">
        <v>527</v>
      </c>
    </row>
    <row r="180" spans="1:3" x14ac:dyDescent="0.3">
      <c r="C180" t="s">
        <v>824</v>
      </c>
    </row>
    <row r="181" spans="1:3" x14ac:dyDescent="0.3">
      <c r="C181" t="s">
        <v>529</v>
      </c>
    </row>
    <row r="182" spans="1:3" x14ac:dyDescent="0.3">
      <c r="C182" t="s">
        <v>530</v>
      </c>
    </row>
    <row r="183" spans="1:3" x14ac:dyDescent="0.3">
      <c r="C183" t="s">
        <v>1096</v>
      </c>
    </row>
    <row r="184" spans="1:3" x14ac:dyDescent="0.3">
      <c r="C184" t="s">
        <v>969</v>
      </c>
    </row>
    <row r="185" spans="1:3" x14ac:dyDescent="0.3">
      <c r="C185" t="s">
        <v>970</v>
      </c>
    </row>
    <row r="186" spans="1:3" x14ac:dyDescent="0.3">
      <c r="C186" t="s">
        <v>971</v>
      </c>
    </row>
    <row r="187" spans="1:3" x14ac:dyDescent="0.3">
      <c r="C187" t="s">
        <v>972</v>
      </c>
    </row>
    <row r="188" spans="1:3" x14ac:dyDescent="0.3">
      <c r="C188" t="s">
        <v>973</v>
      </c>
    </row>
    <row r="189" spans="1:3" x14ac:dyDescent="0.3">
      <c r="C189" t="s">
        <v>974</v>
      </c>
    </row>
    <row r="190" spans="1:3" x14ac:dyDescent="0.3">
      <c r="C190" t="s">
        <v>975</v>
      </c>
    </row>
    <row r="191" spans="1:3" x14ac:dyDescent="0.3">
      <c r="C191" t="s">
        <v>976</v>
      </c>
    </row>
    <row r="192" spans="1:3" x14ac:dyDescent="0.3">
      <c r="C192" t="s">
        <v>977</v>
      </c>
    </row>
    <row r="193" spans="2:3" x14ac:dyDescent="0.3">
      <c r="C193" t="s">
        <v>978</v>
      </c>
    </row>
    <row r="194" spans="2:3" x14ac:dyDescent="0.3">
      <c r="C194" t="s">
        <v>979</v>
      </c>
    </row>
    <row r="196" spans="2:3" x14ac:dyDescent="0.3">
      <c r="B196" t="s">
        <v>655</v>
      </c>
      <c r="C196" t="s">
        <v>525</v>
      </c>
    </row>
    <row r="197" spans="2:3" x14ac:dyDescent="0.3">
      <c r="C197" t="s">
        <v>526</v>
      </c>
    </row>
    <row r="198" spans="2:3" x14ac:dyDescent="0.3">
      <c r="C198" t="s">
        <v>1042</v>
      </c>
    </row>
    <row r="199" spans="2:3" x14ac:dyDescent="0.3">
      <c r="C199" t="s">
        <v>656</v>
      </c>
    </row>
    <row r="200" spans="2:3" x14ac:dyDescent="0.3">
      <c r="C200" t="s">
        <v>657</v>
      </c>
    </row>
    <row r="201" spans="2:3" x14ac:dyDescent="0.3">
      <c r="C201" t="s">
        <v>1043</v>
      </c>
    </row>
    <row r="202" spans="2:3" x14ac:dyDescent="0.3">
      <c r="C202" t="s">
        <v>531</v>
      </c>
    </row>
    <row r="203" spans="2:3" x14ac:dyDescent="0.3">
      <c r="C203" t="s">
        <v>1093</v>
      </c>
    </row>
    <row r="205" spans="2:3" x14ac:dyDescent="0.3">
      <c r="B205" t="s">
        <v>658</v>
      </c>
      <c r="C205" t="s">
        <v>659</v>
      </c>
    </row>
    <row r="206" spans="2:3" x14ac:dyDescent="0.3">
      <c r="C206" t="s">
        <v>983</v>
      </c>
    </row>
    <row r="207" spans="2:3" x14ac:dyDescent="0.3">
      <c r="C207" t="s">
        <v>984</v>
      </c>
    </row>
    <row r="208" spans="2:3" x14ac:dyDescent="0.3">
      <c r="C208" t="s">
        <v>985</v>
      </c>
    </row>
    <row r="209" spans="1:3" x14ac:dyDescent="0.3">
      <c r="C209" t="s">
        <v>532</v>
      </c>
    </row>
    <row r="211" spans="1:3" x14ac:dyDescent="0.3">
      <c r="B211" t="s">
        <v>660</v>
      </c>
      <c r="C211" t="s">
        <v>825</v>
      </c>
    </row>
    <row r="212" spans="1:3" x14ac:dyDescent="0.3">
      <c r="C212" t="s">
        <v>965</v>
      </c>
    </row>
    <row r="213" spans="1:3" x14ac:dyDescent="0.3">
      <c r="C213" t="s">
        <v>528</v>
      </c>
    </row>
    <row r="215" spans="1:3" x14ac:dyDescent="0.3">
      <c r="A215" t="s">
        <v>533</v>
      </c>
      <c r="B215" t="s">
        <v>121</v>
      </c>
    </row>
    <row r="216" spans="1:3" x14ac:dyDescent="0.3">
      <c r="B216" t="s">
        <v>198</v>
      </c>
    </row>
    <row r="217" spans="1:3" x14ac:dyDescent="0.3">
      <c r="B217" t="s">
        <v>1034</v>
      </c>
    </row>
    <row r="219" spans="1:3" x14ac:dyDescent="0.3">
      <c r="A219" t="s">
        <v>534</v>
      </c>
      <c r="B219" t="s">
        <v>826</v>
      </c>
    </row>
    <row r="220" spans="1:3" x14ac:dyDescent="0.3">
      <c r="B220" t="s">
        <v>535</v>
      </c>
    </row>
    <row r="221" spans="1:3" x14ac:dyDescent="0.3">
      <c r="B221" t="s">
        <v>536</v>
      </c>
    </row>
    <row r="222" spans="1:3" x14ac:dyDescent="0.3">
      <c r="B222" t="s">
        <v>1036</v>
      </c>
    </row>
    <row r="223" spans="1:3" x14ac:dyDescent="0.3">
      <c r="B223" t="s">
        <v>980</v>
      </c>
    </row>
    <row r="224" spans="1:3" x14ac:dyDescent="0.3">
      <c r="B224" t="s">
        <v>1035</v>
      </c>
    </row>
    <row r="225" spans="1:2" x14ac:dyDescent="0.3">
      <c r="B225" t="s">
        <v>827</v>
      </c>
    </row>
    <row r="226" spans="1:2" x14ac:dyDescent="0.3">
      <c r="B226" t="s">
        <v>1044</v>
      </c>
    </row>
    <row r="227" spans="1:2" x14ac:dyDescent="0.3">
      <c r="B227" t="s">
        <v>1023</v>
      </c>
    </row>
    <row r="228" spans="1:2" x14ac:dyDescent="0.3">
      <c r="B228" t="s">
        <v>1037</v>
      </c>
    </row>
    <row r="229" spans="1:2" x14ac:dyDescent="0.3">
      <c r="B229" t="s">
        <v>1045</v>
      </c>
    </row>
    <row r="230" spans="1:2" x14ac:dyDescent="0.3">
      <c r="B230" t="s">
        <v>828</v>
      </c>
    </row>
    <row r="231" spans="1:2" x14ac:dyDescent="0.3">
      <c r="B231" t="s">
        <v>986</v>
      </c>
    </row>
    <row r="232" spans="1:2" x14ac:dyDescent="0.3">
      <c r="B232" t="s">
        <v>1025</v>
      </c>
    </row>
    <row r="233" spans="1:2" x14ac:dyDescent="0.3">
      <c r="B233" t="s">
        <v>1012</v>
      </c>
    </row>
    <row r="234" spans="1:2" x14ac:dyDescent="0.3">
      <c r="B234" t="s">
        <v>1046</v>
      </c>
    </row>
    <row r="235" spans="1:2" x14ac:dyDescent="0.3">
      <c r="B235" t="s">
        <v>661</v>
      </c>
    </row>
    <row r="236" spans="1:2" x14ac:dyDescent="0.3">
      <c r="B236" t="s">
        <v>1136</v>
      </c>
    </row>
    <row r="238" spans="1:2" x14ac:dyDescent="0.3">
      <c r="A238" t="s">
        <v>662</v>
      </c>
      <c r="B238" t="s">
        <v>663</v>
      </c>
    </row>
    <row r="239" spans="1:2" x14ac:dyDescent="0.3">
      <c r="B239" t="s">
        <v>664</v>
      </c>
    </row>
    <row r="241" spans="1:1" x14ac:dyDescent="0.3">
      <c r="A241" t="s">
        <v>1091</v>
      </c>
    </row>
    <row r="242" spans="1:1" x14ac:dyDescent="0.3">
      <c r="A242" t="s">
        <v>145</v>
      </c>
    </row>
    <row r="244" spans="1:1" x14ac:dyDescent="0.3">
      <c r="A244" t="s">
        <v>107</v>
      </c>
    </row>
    <row r="246" spans="1:1" x14ac:dyDescent="0.3">
      <c r="A246" t="s">
        <v>146</v>
      </c>
    </row>
    <row r="248" spans="1:1" x14ac:dyDescent="0.3">
      <c r="A248" t="s">
        <v>147</v>
      </c>
    </row>
    <row r="249" spans="1:1" x14ac:dyDescent="0.3">
      <c r="A249" t="s">
        <v>1028</v>
      </c>
    </row>
    <row r="250" spans="1:1" x14ac:dyDescent="0.3">
      <c r="A250" t="s">
        <v>148</v>
      </c>
    </row>
    <row r="251" spans="1:1" x14ac:dyDescent="0.3">
      <c r="A251" t="s">
        <v>666</v>
      </c>
    </row>
    <row r="252" spans="1:1" x14ac:dyDescent="0.3">
      <c r="A252" t="s">
        <v>1047</v>
      </c>
    </row>
    <row r="253" spans="1:1" x14ac:dyDescent="0.3">
      <c r="A253" t="s">
        <v>667</v>
      </c>
    </row>
    <row r="255" spans="1:1" x14ac:dyDescent="0.3">
      <c r="A255" t="s">
        <v>149</v>
      </c>
    </row>
    <row r="257" spans="1:1" x14ac:dyDescent="0.3">
      <c r="A257" t="s">
        <v>150</v>
      </c>
    </row>
    <row r="259" spans="1:1" x14ac:dyDescent="0.3">
      <c r="A259" t="s">
        <v>151</v>
      </c>
    </row>
    <row r="260" spans="1:1" x14ac:dyDescent="0.3">
      <c r="A260" t="s">
        <v>152</v>
      </c>
    </row>
    <row r="261" spans="1:1" x14ac:dyDescent="0.3">
      <c r="A261" t="s">
        <v>153</v>
      </c>
    </row>
    <row r="262" spans="1:1" x14ac:dyDescent="0.3">
      <c r="A262" t="s">
        <v>154</v>
      </c>
    </row>
    <row r="263" spans="1:1" x14ac:dyDescent="0.3">
      <c r="A263" t="s">
        <v>155</v>
      </c>
    </row>
    <row r="265" spans="1:1" x14ac:dyDescent="0.3">
      <c r="A265" t="s">
        <v>156</v>
      </c>
    </row>
    <row r="267" spans="1:1" x14ac:dyDescent="0.3">
      <c r="A267" t="s">
        <v>157</v>
      </c>
    </row>
    <row r="268" spans="1:1" x14ac:dyDescent="0.3">
      <c r="A268" t="s">
        <v>152</v>
      </c>
    </row>
    <row r="270" spans="1:1" x14ac:dyDescent="0.3">
      <c r="A270" t="s">
        <v>158</v>
      </c>
    </row>
    <row r="272" spans="1:1" x14ac:dyDescent="0.3">
      <c r="A272" t="s">
        <v>159</v>
      </c>
    </row>
    <row r="274" spans="1:1" x14ac:dyDescent="0.3">
      <c r="A274" t="s">
        <v>160</v>
      </c>
    </row>
    <row r="275" spans="1:1" x14ac:dyDescent="0.3">
      <c r="A275" t="s">
        <v>161</v>
      </c>
    </row>
    <row r="276" spans="1:1" x14ac:dyDescent="0.3">
      <c r="A276" t="s">
        <v>162</v>
      </c>
    </row>
    <row r="278" spans="1:1" x14ac:dyDescent="0.3">
      <c r="A278" t="s">
        <v>163</v>
      </c>
    </row>
    <row r="280" spans="1:1" x14ac:dyDescent="0.3">
      <c r="A280" t="s">
        <v>164</v>
      </c>
    </row>
    <row r="282" spans="1:1" x14ac:dyDescent="0.3">
      <c r="A282" t="s">
        <v>165</v>
      </c>
    </row>
    <row r="284" spans="1:1" x14ac:dyDescent="0.3">
      <c r="A284" t="s">
        <v>166</v>
      </c>
    </row>
    <row r="285" spans="1:1" x14ac:dyDescent="0.3">
      <c r="A285" t="s">
        <v>26</v>
      </c>
    </row>
    <row r="286" spans="1:1" x14ac:dyDescent="0.3">
      <c r="A286" t="s">
        <v>167</v>
      </c>
    </row>
    <row r="287" spans="1:1" x14ac:dyDescent="0.3">
      <c r="A287" t="s">
        <v>168</v>
      </c>
    </row>
    <row r="288" spans="1:1" x14ac:dyDescent="0.3">
      <c r="A288" t="s">
        <v>171</v>
      </c>
    </row>
    <row r="289" spans="1:1" x14ac:dyDescent="0.3">
      <c r="A289" t="s">
        <v>1050</v>
      </c>
    </row>
    <row r="290" spans="1:1" x14ac:dyDescent="0.3">
      <c r="A290" t="s">
        <v>1051</v>
      </c>
    </row>
    <row r="291" spans="1:1" x14ac:dyDescent="0.3">
      <c r="A291" t="s">
        <v>169</v>
      </c>
    </row>
    <row r="293" spans="1:1" x14ac:dyDescent="0.3">
      <c r="A293" t="s">
        <v>1052</v>
      </c>
    </row>
    <row r="295" spans="1:1" x14ac:dyDescent="0.3">
      <c r="A295" t="s">
        <v>170</v>
      </c>
    </row>
    <row r="296" spans="1:1" x14ac:dyDescent="0.3">
      <c r="A296" t="s">
        <v>172</v>
      </c>
    </row>
    <row r="297" spans="1:1" x14ac:dyDescent="0.3">
      <c r="A297" t="s">
        <v>173</v>
      </c>
    </row>
    <row r="298" spans="1:1" x14ac:dyDescent="0.3">
      <c r="A298" t="s">
        <v>177</v>
      </c>
    </row>
    <row r="300" spans="1:1" x14ac:dyDescent="0.3">
      <c r="A300" t="s">
        <v>174</v>
      </c>
    </row>
    <row r="302" spans="1:1" x14ac:dyDescent="0.3">
      <c r="A302" t="s">
        <v>175</v>
      </c>
    </row>
    <row r="303" spans="1:1" x14ac:dyDescent="0.3">
      <c r="A303" t="s">
        <v>176</v>
      </c>
    </row>
    <row r="304" spans="1:1" x14ac:dyDescent="0.3">
      <c r="A304" t="s">
        <v>177</v>
      </c>
    </row>
    <row r="305" spans="1:1" x14ac:dyDescent="0.3">
      <c r="A305" t="s">
        <v>178</v>
      </c>
    </row>
    <row r="306" spans="1:1" x14ac:dyDescent="0.3">
      <c r="A306" t="s">
        <v>179</v>
      </c>
    </row>
    <row r="307" spans="1:1" x14ac:dyDescent="0.3">
      <c r="A307" t="s">
        <v>180</v>
      </c>
    </row>
    <row r="308" spans="1:1" x14ac:dyDescent="0.3">
      <c r="A308" t="s">
        <v>182</v>
      </c>
    </row>
    <row r="309" spans="1:1" x14ac:dyDescent="0.3">
      <c r="A309" t="s">
        <v>181</v>
      </c>
    </row>
    <row r="311" spans="1:1" x14ac:dyDescent="0.3">
      <c r="A311" t="s">
        <v>183</v>
      </c>
    </row>
    <row r="313" spans="1:1" x14ac:dyDescent="0.3">
      <c r="A313" t="s">
        <v>184</v>
      </c>
    </row>
    <row r="314" spans="1:1" x14ac:dyDescent="0.3">
      <c r="A314" t="s">
        <v>185</v>
      </c>
    </row>
    <row r="316" spans="1:1" x14ac:dyDescent="0.3">
      <c r="A316" t="s">
        <v>222</v>
      </c>
    </row>
    <row r="318" spans="1:1" x14ac:dyDescent="0.3">
      <c r="A318" t="s">
        <v>223</v>
      </c>
    </row>
    <row r="320" spans="1:1" x14ac:dyDescent="0.3">
      <c r="A320" t="s">
        <v>186</v>
      </c>
    </row>
    <row r="322" spans="1:1" x14ac:dyDescent="0.3">
      <c r="A322" t="s">
        <v>187</v>
      </c>
    </row>
    <row r="324" spans="1:1" x14ac:dyDescent="0.3">
      <c r="A324" t="s">
        <v>1092</v>
      </c>
    </row>
    <row r="325" spans="1:1" x14ac:dyDescent="0.3">
      <c r="A325" t="s">
        <v>188</v>
      </c>
    </row>
    <row r="327" spans="1:1" x14ac:dyDescent="0.3">
      <c r="A327" t="s">
        <v>189</v>
      </c>
    </row>
    <row r="328" spans="1:1" x14ac:dyDescent="0.3">
      <c r="A328" t="s">
        <v>171</v>
      </c>
    </row>
    <row r="329" spans="1:1" x14ac:dyDescent="0.3">
      <c r="A329" t="s">
        <v>190</v>
      </c>
    </row>
    <row r="330" spans="1:1" x14ac:dyDescent="0.3">
      <c r="A330" t="s">
        <v>191</v>
      </c>
    </row>
    <row r="331" spans="1:1" x14ac:dyDescent="0.3">
      <c r="A331" t="s">
        <v>192</v>
      </c>
    </row>
    <row r="332" spans="1:1" x14ac:dyDescent="0.3">
      <c r="A332" t="s">
        <v>193</v>
      </c>
    </row>
    <row r="333" spans="1:1" x14ac:dyDescent="0.3">
      <c r="A333" t="s">
        <v>194</v>
      </c>
    </row>
    <row r="334" spans="1:1" x14ac:dyDescent="0.3">
      <c r="A334" t="s">
        <v>195</v>
      </c>
    </row>
    <row r="336" spans="1:1" x14ac:dyDescent="0.3">
      <c r="A336" t="s">
        <v>196</v>
      </c>
    </row>
    <row r="337" spans="1:1" x14ac:dyDescent="0.3">
      <c r="A337" t="s">
        <v>197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I13" sqref="I13"/>
    </sheetView>
  </sheetViews>
  <sheetFormatPr defaultRowHeight="15.05" x14ac:dyDescent="0.3"/>
  <cols>
    <col min="1" max="1" width="38.77734375" style="59"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70" t="s">
        <v>687</v>
      </c>
      <c r="B3" s="66"/>
      <c r="C3" s="66" t="s">
        <v>688</v>
      </c>
      <c r="D3" s="67" t="s">
        <v>689</v>
      </c>
      <c r="E3" s="67" t="s">
        <v>1</v>
      </c>
      <c r="F3" s="66" t="s">
        <v>1</v>
      </c>
      <c r="G3" s="66" t="s">
        <v>688</v>
      </c>
      <c r="H3" s="66"/>
      <c r="I3" s="66" t="s">
        <v>690</v>
      </c>
      <c r="J3" s="68" t="s">
        <v>691</v>
      </c>
      <c r="K3" s="66" t="s">
        <v>692</v>
      </c>
      <c r="L3" s="66" t="s">
        <v>692</v>
      </c>
      <c r="M3" s="69" t="s">
        <v>693</v>
      </c>
      <c r="N3" s="66"/>
      <c r="O3" s="69" t="str">
        <f>CONCATENATE(G3,I3,J3,K3,F3,L3,M3)</f>
        <v>auckD.push(history["Auckland"][i].date.substring(0, 10));</v>
      </c>
      <c r="P3" s="66"/>
    </row>
    <row r="4" spans="1:16" ht="26.85" thickBot="1" x14ac:dyDescent="0.35">
      <c r="A4" s="70" t="s">
        <v>694</v>
      </c>
      <c r="B4" s="66"/>
      <c r="C4" s="66" t="s">
        <v>695</v>
      </c>
      <c r="D4" s="67" t="s">
        <v>696</v>
      </c>
      <c r="E4" s="67" t="s">
        <v>2</v>
      </c>
      <c r="F4" s="66" t="s">
        <v>2</v>
      </c>
      <c r="G4" s="66" t="s">
        <v>695</v>
      </c>
      <c r="H4" s="66"/>
      <c r="I4" s="66" t="s">
        <v>690</v>
      </c>
      <c r="J4" s="68" t="s">
        <v>691</v>
      </c>
      <c r="K4" s="66" t="s">
        <v>692</v>
      </c>
      <c r="L4" s="66" t="s">
        <v>692</v>
      </c>
      <c r="M4" s="69" t="s">
        <v>693</v>
      </c>
      <c r="N4" s="66"/>
      <c r="O4" s="69" t="s">
        <v>697</v>
      </c>
      <c r="P4" s="66"/>
    </row>
    <row r="5" spans="1:16" ht="26.85" thickBot="1" x14ac:dyDescent="0.35">
      <c r="A5" s="70" t="s">
        <v>698</v>
      </c>
      <c r="B5" s="66"/>
      <c r="C5" s="66" t="s">
        <v>699</v>
      </c>
      <c r="D5" s="67" t="s">
        <v>700</v>
      </c>
      <c r="E5" s="67" t="s">
        <v>3</v>
      </c>
      <c r="F5" s="66" t="s">
        <v>3</v>
      </c>
      <c r="G5" s="66" t="s">
        <v>699</v>
      </c>
      <c r="H5" s="66"/>
      <c r="I5" s="66" t="s">
        <v>690</v>
      </c>
      <c r="J5" s="68" t="s">
        <v>691</v>
      </c>
      <c r="K5" s="66" t="s">
        <v>692</v>
      </c>
      <c r="L5" s="66" t="s">
        <v>692</v>
      </c>
      <c r="M5" s="69" t="s">
        <v>693</v>
      </c>
      <c r="N5" s="66"/>
      <c r="O5" s="69" t="s">
        <v>701</v>
      </c>
      <c r="P5" s="66"/>
    </row>
    <row r="6" spans="1:16" ht="26.85" thickBot="1" x14ac:dyDescent="0.35">
      <c r="A6" s="70" t="s">
        <v>702</v>
      </c>
      <c r="B6" s="66"/>
      <c r="C6" s="66" t="s">
        <v>703</v>
      </c>
      <c r="D6" s="67" t="s">
        <v>704</v>
      </c>
      <c r="E6" s="67" t="s">
        <v>4</v>
      </c>
      <c r="F6" s="66" t="s">
        <v>4</v>
      </c>
      <c r="G6" s="66" t="s">
        <v>703</v>
      </c>
      <c r="H6" s="66"/>
      <c r="I6" s="66" t="s">
        <v>690</v>
      </c>
      <c r="J6" s="68" t="s">
        <v>691</v>
      </c>
      <c r="K6" s="66" t="s">
        <v>692</v>
      </c>
      <c r="L6" s="66" t="s">
        <v>692</v>
      </c>
      <c r="M6" s="69" t="s">
        <v>693</v>
      </c>
      <c r="N6" s="66"/>
      <c r="O6" s="69" t="s">
        <v>705</v>
      </c>
      <c r="P6" s="66"/>
    </row>
    <row r="7" spans="1:16" ht="26.85" thickBot="1" x14ac:dyDescent="0.35">
      <c r="A7" s="70" t="s">
        <v>706</v>
      </c>
      <c r="B7" s="66"/>
      <c r="C7" s="66" t="s">
        <v>707</v>
      </c>
      <c r="D7" s="67" t="s">
        <v>708</v>
      </c>
      <c r="E7" s="67" t="s">
        <v>5</v>
      </c>
      <c r="F7" s="66" t="s">
        <v>5</v>
      </c>
      <c r="G7" s="66" t="s">
        <v>707</v>
      </c>
      <c r="H7" s="66"/>
      <c r="I7" s="66" t="s">
        <v>690</v>
      </c>
      <c r="J7" s="68" t="s">
        <v>691</v>
      </c>
      <c r="K7" s="66" t="s">
        <v>692</v>
      </c>
      <c r="L7" s="66" t="s">
        <v>692</v>
      </c>
      <c r="M7" s="69" t="s">
        <v>693</v>
      </c>
      <c r="N7" s="66"/>
      <c r="O7" s="69" t="s">
        <v>709</v>
      </c>
      <c r="P7" s="66"/>
    </row>
    <row r="8" spans="1:16" ht="26.85" thickBot="1" x14ac:dyDescent="0.35">
      <c r="A8" s="70" t="s">
        <v>710</v>
      </c>
      <c r="B8" s="66"/>
      <c r="C8" s="66" t="s">
        <v>711</v>
      </c>
      <c r="D8" s="67" t="s">
        <v>712</v>
      </c>
      <c r="E8" s="67" t="s">
        <v>6</v>
      </c>
      <c r="F8" s="66" t="s">
        <v>6</v>
      </c>
      <c r="G8" s="66" t="s">
        <v>711</v>
      </c>
      <c r="H8" s="66"/>
      <c r="I8" s="66" t="s">
        <v>690</v>
      </c>
      <c r="J8" s="68" t="s">
        <v>691</v>
      </c>
      <c r="K8" s="66" t="s">
        <v>692</v>
      </c>
      <c r="L8" s="66" t="s">
        <v>692</v>
      </c>
      <c r="M8" s="69" t="s">
        <v>693</v>
      </c>
      <c r="N8" s="66"/>
      <c r="O8" s="69" t="s">
        <v>713</v>
      </c>
      <c r="P8" s="66"/>
    </row>
    <row r="9" spans="1:16" ht="15.75" thickBot="1" x14ac:dyDescent="0.35">
      <c r="A9" s="70" t="s">
        <v>714</v>
      </c>
      <c r="B9" s="66"/>
      <c r="C9" s="66" t="s">
        <v>715</v>
      </c>
      <c r="D9" s="67" t="s">
        <v>716</v>
      </c>
      <c r="E9" s="67" t="s">
        <v>12</v>
      </c>
      <c r="F9" s="66" t="s">
        <v>12</v>
      </c>
      <c r="G9" s="66" t="s">
        <v>715</v>
      </c>
      <c r="H9" s="66"/>
      <c r="I9" s="66" t="s">
        <v>690</v>
      </c>
      <c r="J9" s="68" t="s">
        <v>691</v>
      </c>
      <c r="K9" s="66" t="s">
        <v>692</v>
      </c>
      <c r="L9" s="66" t="s">
        <v>692</v>
      </c>
      <c r="M9" s="69" t="s">
        <v>693</v>
      </c>
      <c r="N9" s="66"/>
      <c r="O9" s="69" t="s">
        <v>717</v>
      </c>
      <c r="P9" s="66"/>
    </row>
    <row r="10" spans="1:16" ht="15.75" thickBot="1" x14ac:dyDescent="0.35">
      <c r="A10" s="70" t="s">
        <v>718</v>
      </c>
      <c r="B10" s="66"/>
      <c r="C10" s="66" t="s">
        <v>719</v>
      </c>
      <c r="D10" s="67" t="s">
        <v>720</v>
      </c>
      <c r="E10" s="67" t="s">
        <v>16</v>
      </c>
      <c r="F10" s="66" t="s">
        <v>16</v>
      </c>
      <c r="G10" s="66" t="s">
        <v>719</v>
      </c>
      <c r="H10" s="66"/>
      <c r="I10" s="66" t="s">
        <v>690</v>
      </c>
      <c r="J10" s="68" t="s">
        <v>691</v>
      </c>
      <c r="K10" s="66" t="s">
        <v>692</v>
      </c>
      <c r="L10" s="66" t="s">
        <v>692</v>
      </c>
      <c r="M10" s="69" t="s">
        <v>693</v>
      </c>
      <c r="N10" s="66"/>
      <c r="O10" s="69" t="s">
        <v>721</v>
      </c>
      <c r="P10" s="66"/>
    </row>
    <row r="11" spans="1:16" ht="15.75" thickBot="1" x14ac:dyDescent="0.35">
      <c r="A11" s="70" t="s">
        <v>722</v>
      </c>
      <c r="B11" s="66"/>
      <c r="C11" s="66" t="s">
        <v>723</v>
      </c>
      <c r="D11" s="67" t="s">
        <v>724</v>
      </c>
      <c r="E11" s="67" t="s">
        <v>13</v>
      </c>
      <c r="F11" s="66" t="s">
        <v>13</v>
      </c>
      <c r="G11" s="66" t="s">
        <v>723</v>
      </c>
      <c r="H11" s="66"/>
      <c r="I11" s="66" t="s">
        <v>690</v>
      </c>
      <c r="J11" s="68" t="s">
        <v>691</v>
      </c>
      <c r="K11" s="66" t="s">
        <v>692</v>
      </c>
      <c r="L11" s="66" t="s">
        <v>692</v>
      </c>
      <c r="M11" s="69" t="s">
        <v>693</v>
      </c>
      <c r="N11" s="66"/>
      <c r="O11" s="69" t="s">
        <v>725</v>
      </c>
      <c r="P11" s="66"/>
    </row>
    <row r="12" spans="1:16" ht="39.299999999999997" thickBot="1" x14ac:dyDescent="0.35">
      <c r="A12" s="70" t="s">
        <v>726</v>
      </c>
      <c r="B12" s="66"/>
      <c r="C12" s="66" t="s">
        <v>727</v>
      </c>
      <c r="D12" s="67" t="s">
        <v>728</v>
      </c>
      <c r="E12" s="67" t="s">
        <v>7</v>
      </c>
      <c r="F12" s="66" t="s">
        <v>7</v>
      </c>
      <c r="G12" s="66" t="s">
        <v>727</v>
      </c>
      <c r="H12" s="66"/>
      <c r="I12" s="66" t="s">
        <v>690</v>
      </c>
      <c r="J12" s="68" t="s">
        <v>691</v>
      </c>
      <c r="K12" s="66" t="s">
        <v>692</v>
      </c>
      <c r="L12" s="66" t="s">
        <v>692</v>
      </c>
      <c r="M12" s="69" t="s">
        <v>693</v>
      </c>
      <c r="N12" s="66"/>
      <c r="O12" s="69" t="s">
        <v>729</v>
      </c>
      <c r="P12" s="66"/>
    </row>
    <row r="13" spans="1:16" ht="15.75" thickBot="1" x14ac:dyDescent="0.35">
      <c r="A13" s="70" t="s">
        <v>730</v>
      </c>
      <c r="B13" s="66"/>
      <c r="C13" s="66" t="s">
        <v>731</v>
      </c>
      <c r="D13" s="67" t="s">
        <v>732</v>
      </c>
      <c r="E13" s="67" t="s">
        <v>17</v>
      </c>
      <c r="F13" s="66" t="s">
        <v>17</v>
      </c>
      <c r="G13" s="66" t="s">
        <v>731</v>
      </c>
      <c r="H13" s="66"/>
      <c r="I13" s="66" t="s">
        <v>690</v>
      </c>
      <c r="J13" s="68" t="s">
        <v>691</v>
      </c>
      <c r="K13" s="66" t="s">
        <v>692</v>
      </c>
      <c r="L13" s="66" t="s">
        <v>692</v>
      </c>
      <c r="M13" s="69" t="s">
        <v>693</v>
      </c>
      <c r="N13" s="66"/>
      <c r="O13" s="69" t="s">
        <v>733</v>
      </c>
      <c r="P13" s="66"/>
    </row>
    <row r="14" spans="1:16" ht="26.85" thickBot="1" x14ac:dyDescent="0.35">
      <c r="A14" s="70" t="s">
        <v>734</v>
      </c>
      <c r="B14" s="66"/>
      <c r="C14" s="66" t="s">
        <v>735</v>
      </c>
      <c r="D14" s="67" t="s">
        <v>736</v>
      </c>
      <c r="E14" s="67" t="s">
        <v>8</v>
      </c>
      <c r="F14" s="66" t="s">
        <v>8</v>
      </c>
      <c r="G14" s="66" t="s">
        <v>735</v>
      </c>
      <c r="H14" s="66"/>
      <c r="I14" s="66" t="s">
        <v>690</v>
      </c>
      <c r="J14" s="68" t="s">
        <v>691</v>
      </c>
      <c r="K14" s="66" t="s">
        <v>692</v>
      </c>
      <c r="L14" s="66" t="s">
        <v>692</v>
      </c>
      <c r="M14" s="69" t="s">
        <v>693</v>
      </c>
      <c r="N14" s="66"/>
      <c r="O14" s="69" t="s">
        <v>737</v>
      </c>
      <c r="P14" s="66"/>
    </row>
    <row r="15" spans="1:16" ht="15.75" thickBot="1" x14ac:dyDescent="0.35">
      <c r="A15" s="70" t="s">
        <v>738</v>
      </c>
      <c r="B15" s="66"/>
      <c r="C15" s="66" t="s">
        <v>739</v>
      </c>
      <c r="D15" s="67" t="s">
        <v>740</v>
      </c>
      <c r="E15" s="67" t="s">
        <v>9</v>
      </c>
      <c r="F15" s="66" t="s">
        <v>9</v>
      </c>
      <c r="G15" s="66" t="s">
        <v>739</v>
      </c>
      <c r="H15" s="66"/>
      <c r="I15" s="66" t="s">
        <v>690</v>
      </c>
      <c r="J15" s="68" t="s">
        <v>691</v>
      </c>
      <c r="K15" s="66" t="s">
        <v>692</v>
      </c>
      <c r="L15" s="66" t="s">
        <v>692</v>
      </c>
      <c r="M15" s="69" t="s">
        <v>693</v>
      </c>
      <c r="N15" s="66"/>
      <c r="O15" s="69" t="s">
        <v>741</v>
      </c>
      <c r="P15" s="66"/>
    </row>
    <row r="16" spans="1:16" ht="15.75" thickBot="1" x14ac:dyDescent="0.35">
      <c r="A16" s="70" t="s">
        <v>742</v>
      </c>
      <c r="B16" s="66"/>
      <c r="C16" s="66" t="s">
        <v>743</v>
      </c>
      <c r="D16" s="67" t="s">
        <v>744</v>
      </c>
      <c r="E16" s="67" t="s">
        <v>206</v>
      </c>
      <c r="F16" s="66" t="s">
        <v>206</v>
      </c>
      <c r="G16" s="66" t="s">
        <v>743</v>
      </c>
      <c r="H16" s="66"/>
      <c r="I16" s="66" t="s">
        <v>690</v>
      </c>
      <c r="J16" s="68" t="s">
        <v>691</v>
      </c>
      <c r="K16" s="66" t="s">
        <v>692</v>
      </c>
      <c r="L16" s="66" t="s">
        <v>692</v>
      </c>
      <c r="M16" s="69" t="s">
        <v>693</v>
      </c>
      <c r="N16" s="66"/>
      <c r="O16" s="69" t="s">
        <v>745</v>
      </c>
      <c r="P16" s="66"/>
    </row>
    <row r="17" spans="1:16" ht="15.75" thickBot="1" x14ac:dyDescent="0.35">
      <c r="A17" s="70" t="s">
        <v>746</v>
      </c>
      <c r="B17" s="66"/>
      <c r="C17" s="66" t="s">
        <v>747</v>
      </c>
      <c r="D17" s="67" t="s">
        <v>748</v>
      </c>
      <c r="E17" s="67" t="s">
        <v>14</v>
      </c>
      <c r="F17" s="66" t="s">
        <v>14</v>
      </c>
      <c r="G17" s="66" t="s">
        <v>747</v>
      </c>
      <c r="H17" s="66"/>
      <c r="I17" s="66" t="s">
        <v>690</v>
      </c>
      <c r="J17" s="68" t="s">
        <v>691</v>
      </c>
      <c r="K17" s="66" t="s">
        <v>692</v>
      </c>
      <c r="L17" s="66" t="s">
        <v>692</v>
      </c>
      <c r="M17" s="69" t="s">
        <v>693</v>
      </c>
      <c r="N17" s="66"/>
      <c r="O17" s="69" t="s">
        <v>749</v>
      </c>
      <c r="P17" s="66"/>
    </row>
    <row r="18" spans="1:16" ht="15.75" thickBot="1" x14ac:dyDescent="0.35">
      <c r="A18" s="70" t="s">
        <v>750</v>
      </c>
      <c r="B18" s="66"/>
      <c r="C18" s="66" t="s">
        <v>751</v>
      </c>
      <c r="D18" s="67" t="s">
        <v>752</v>
      </c>
      <c r="E18" s="67" t="s">
        <v>10</v>
      </c>
      <c r="F18" s="66" t="s">
        <v>10</v>
      </c>
      <c r="G18" s="66" t="s">
        <v>751</v>
      </c>
      <c r="H18" s="66"/>
      <c r="I18" s="66" t="s">
        <v>690</v>
      </c>
      <c r="J18" s="68" t="s">
        <v>691</v>
      </c>
      <c r="K18" s="66" t="s">
        <v>692</v>
      </c>
      <c r="L18" s="66" t="s">
        <v>692</v>
      </c>
      <c r="M18" s="69" t="s">
        <v>693</v>
      </c>
      <c r="N18" s="66"/>
      <c r="O18" s="69" t="s">
        <v>753</v>
      </c>
      <c r="P18" s="66"/>
    </row>
    <row r="19" spans="1:16" ht="15.75" thickBot="1" x14ac:dyDescent="0.35">
      <c r="A19" s="70" t="s">
        <v>754</v>
      </c>
      <c r="B19" s="66"/>
      <c r="C19" s="66" t="s">
        <v>755</v>
      </c>
      <c r="D19" s="67" t="s">
        <v>756</v>
      </c>
      <c r="E19" s="67" t="s">
        <v>20</v>
      </c>
      <c r="F19" s="66" t="s">
        <v>20</v>
      </c>
      <c r="G19" s="66" t="s">
        <v>755</v>
      </c>
      <c r="H19" s="66"/>
      <c r="I19" s="66" t="s">
        <v>690</v>
      </c>
      <c r="J19" s="68" t="s">
        <v>691</v>
      </c>
      <c r="K19" s="66" t="s">
        <v>692</v>
      </c>
      <c r="L19" s="66" t="s">
        <v>692</v>
      </c>
      <c r="M19" s="69" t="s">
        <v>693</v>
      </c>
      <c r="N19" s="66"/>
      <c r="O19" s="69" t="s">
        <v>757</v>
      </c>
      <c r="P19" s="66"/>
    </row>
    <row r="20" spans="1:16" ht="26.85" thickBot="1" x14ac:dyDescent="0.35">
      <c r="A20" s="70" t="s">
        <v>758</v>
      </c>
      <c r="B20" s="66"/>
      <c r="C20" s="66" t="s">
        <v>759</v>
      </c>
      <c r="D20" s="67" t="s">
        <v>760</v>
      </c>
      <c r="E20" s="67" t="s">
        <v>11</v>
      </c>
      <c r="F20" s="66" t="s">
        <v>11</v>
      </c>
      <c r="G20" s="66" t="s">
        <v>759</v>
      </c>
      <c r="H20" s="66"/>
      <c r="I20" s="66" t="s">
        <v>690</v>
      </c>
      <c r="J20" s="68" t="s">
        <v>691</v>
      </c>
      <c r="K20" s="66" t="s">
        <v>692</v>
      </c>
      <c r="L20" s="66" t="s">
        <v>692</v>
      </c>
      <c r="M20" s="69" t="s">
        <v>693</v>
      </c>
      <c r="N20" s="66"/>
      <c r="O20" s="69" t="s">
        <v>761</v>
      </c>
      <c r="P20" s="66"/>
    </row>
    <row r="21" spans="1:16" ht="26.85" thickBot="1" x14ac:dyDescent="0.35">
      <c r="A21" s="70" t="s">
        <v>762</v>
      </c>
      <c r="B21" s="66"/>
      <c r="C21" s="66" t="s">
        <v>763</v>
      </c>
      <c r="D21" s="67" t="s">
        <v>764</v>
      </c>
      <c r="E21" s="67" t="s">
        <v>19</v>
      </c>
      <c r="F21" s="66" t="s">
        <v>19</v>
      </c>
      <c r="G21" s="66" t="s">
        <v>763</v>
      </c>
      <c r="H21" s="66"/>
      <c r="I21" s="66" t="s">
        <v>690</v>
      </c>
      <c r="J21" s="68" t="s">
        <v>691</v>
      </c>
      <c r="K21" s="66" t="s">
        <v>692</v>
      </c>
      <c r="L21" s="66" t="s">
        <v>692</v>
      </c>
      <c r="M21" s="69" t="s">
        <v>693</v>
      </c>
      <c r="N21" s="66"/>
      <c r="O21" s="69" t="s">
        <v>765</v>
      </c>
      <c r="P21" s="66"/>
    </row>
    <row r="22" spans="1:16" ht="26.85" thickBot="1" x14ac:dyDescent="0.35">
      <c r="A22" s="70" t="s">
        <v>766</v>
      </c>
      <c r="B22" s="66"/>
      <c r="C22" s="66" t="s">
        <v>767</v>
      </c>
      <c r="D22" s="67" t="s">
        <v>768</v>
      </c>
      <c r="E22" s="67" t="s">
        <v>769</v>
      </c>
      <c r="F22" s="66" t="s">
        <v>769</v>
      </c>
      <c r="G22" s="66" t="s">
        <v>767</v>
      </c>
      <c r="H22" s="66"/>
      <c r="I22" s="66" t="s">
        <v>690</v>
      </c>
      <c r="J22" s="68" t="s">
        <v>691</v>
      </c>
      <c r="K22" s="66" t="s">
        <v>692</v>
      </c>
      <c r="L22" s="66" t="s">
        <v>692</v>
      </c>
      <c r="M22" s="69" t="s">
        <v>693</v>
      </c>
      <c r="N22" s="66"/>
      <c r="O22" s="69" t="s">
        <v>770</v>
      </c>
      <c r="P22" s="66"/>
    </row>
    <row r="26" spans="1:16" ht="15.75" thickBot="1" x14ac:dyDescent="0.35"/>
    <row r="27" spans="1:16" ht="15.75" thickBot="1" x14ac:dyDescent="0.35">
      <c r="A27" s="70" t="s">
        <v>771</v>
      </c>
      <c r="C27" s="66" t="s">
        <v>688</v>
      </c>
      <c r="D27" s="67" t="s">
        <v>689</v>
      </c>
      <c r="E27" s="67" t="s">
        <v>1</v>
      </c>
      <c r="F27" s="66" t="s">
        <v>1</v>
      </c>
      <c r="G27" s="66" t="s">
        <v>688</v>
      </c>
      <c r="H27" s="66"/>
      <c r="I27" s="66" t="s">
        <v>812</v>
      </c>
      <c r="J27" s="68" t="s">
        <v>691</v>
      </c>
      <c r="K27" s="66" t="s">
        <v>692</v>
      </c>
      <c r="L27" s="66" t="s">
        <v>692</v>
      </c>
      <c r="M27" s="69" t="s">
        <v>813</v>
      </c>
      <c r="N27" s="66"/>
      <c r="O27" s="69" t="str">
        <f>CONCATENATE(G27,I27,J27,K27,F27,L27,M27)</f>
        <v>auckN.push(history["Auckland"][i].new);</v>
      </c>
    </row>
    <row r="28" spans="1:16" ht="26.85" thickBot="1" x14ac:dyDescent="0.35">
      <c r="A28" s="70" t="s">
        <v>772</v>
      </c>
      <c r="C28" s="66" t="s">
        <v>695</v>
      </c>
      <c r="D28" s="67" t="s">
        <v>696</v>
      </c>
      <c r="E28" s="67" t="s">
        <v>2</v>
      </c>
      <c r="F28" s="66" t="s">
        <v>2</v>
      </c>
      <c r="G28" s="66" t="s">
        <v>695</v>
      </c>
      <c r="H28" s="66"/>
      <c r="I28" s="66" t="s">
        <v>812</v>
      </c>
      <c r="J28" s="68" t="s">
        <v>691</v>
      </c>
      <c r="K28" s="66" t="s">
        <v>692</v>
      </c>
      <c r="L28" s="66" t="s">
        <v>692</v>
      </c>
      <c r="M28" s="69" t="s">
        <v>813</v>
      </c>
      <c r="N28" s="66"/>
      <c r="O28" s="69" t="str">
        <f t="shared" ref="O28:O46" si="0">CONCATENATE(G28,I28,J28,K28,F28,L28,M28)</f>
        <v>bopN.push(history["Bay of Plenty"][i].new);</v>
      </c>
    </row>
    <row r="29" spans="1:16" ht="26.85" thickBot="1" x14ac:dyDescent="0.35">
      <c r="A29" s="70" t="s">
        <v>773</v>
      </c>
      <c r="C29" s="66" t="s">
        <v>699</v>
      </c>
      <c r="D29" s="67" t="s">
        <v>700</v>
      </c>
      <c r="E29" s="67" t="s">
        <v>3</v>
      </c>
      <c r="F29" s="66" t="s">
        <v>3</v>
      </c>
      <c r="G29" s="66" t="s">
        <v>699</v>
      </c>
      <c r="H29" s="66"/>
      <c r="I29" s="66" t="s">
        <v>812</v>
      </c>
      <c r="J29" s="68" t="s">
        <v>691</v>
      </c>
      <c r="K29" s="66" t="s">
        <v>692</v>
      </c>
      <c r="L29" s="66" t="s">
        <v>692</v>
      </c>
      <c r="M29" s="69" t="s">
        <v>813</v>
      </c>
      <c r="N29" s="66"/>
      <c r="O29" s="69" t="str">
        <f t="shared" si="0"/>
        <v>cantN.push(history["Canterbury"][i].new);</v>
      </c>
    </row>
    <row r="30" spans="1:16" ht="26.85" thickBot="1" x14ac:dyDescent="0.35">
      <c r="A30" s="70" t="s">
        <v>774</v>
      </c>
      <c r="C30" s="66" t="s">
        <v>703</v>
      </c>
      <c r="D30" s="67" t="s">
        <v>704</v>
      </c>
      <c r="E30" s="67" t="s">
        <v>4</v>
      </c>
      <c r="F30" s="66" t="s">
        <v>4</v>
      </c>
      <c r="G30" s="66" t="s">
        <v>703</v>
      </c>
      <c r="H30" s="66"/>
      <c r="I30" s="66" t="s">
        <v>812</v>
      </c>
      <c r="J30" s="68" t="s">
        <v>691</v>
      </c>
      <c r="K30" s="66" t="s">
        <v>692</v>
      </c>
      <c r="L30" s="66" t="s">
        <v>692</v>
      </c>
      <c r="M30" s="69" t="s">
        <v>813</v>
      </c>
      <c r="N30" s="66"/>
      <c r="O30" s="69" t="str">
        <f t="shared" si="0"/>
        <v>cacN.push(history["Capital and Coast"][i].new);</v>
      </c>
    </row>
    <row r="31" spans="1:16" ht="26.85" thickBot="1" x14ac:dyDescent="0.35">
      <c r="A31" s="70" t="s">
        <v>775</v>
      </c>
      <c r="C31" s="66" t="s">
        <v>707</v>
      </c>
      <c r="D31" s="67" t="s">
        <v>708</v>
      </c>
      <c r="E31" s="67" t="s">
        <v>5</v>
      </c>
      <c r="F31" s="66" t="s">
        <v>5</v>
      </c>
      <c r="G31" s="66" t="s">
        <v>707</v>
      </c>
      <c r="H31" s="66"/>
      <c r="I31" s="66" t="s">
        <v>812</v>
      </c>
      <c r="J31" s="68" t="s">
        <v>691</v>
      </c>
      <c r="K31" s="66" t="s">
        <v>692</v>
      </c>
      <c r="L31" s="66" t="s">
        <v>692</v>
      </c>
      <c r="M31" s="69" t="s">
        <v>813</v>
      </c>
      <c r="N31" s="66"/>
      <c r="O31" s="69" t="str">
        <f t="shared" si="0"/>
        <v>comaN.push(history["Counties Manukau"][i].new);</v>
      </c>
    </row>
    <row r="32" spans="1:16" ht="26.85" thickBot="1" x14ac:dyDescent="0.35">
      <c r="A32" s="70" t="s">
        <v>776</v>
      </c>
      <c r="C32" s="66" t="s">
        <v>711</v>
      </c>
      <c r="D32" s="67" t="s">
        <v>712</v>
      </c>
      <c r="E32" s="67" t="s">
        <v>6</v>
      </c>
      <c r="F32" s="66" t="s">
        <v>6</v>
      </c>
      <c r="G32" s="66" t="s">
        <v>711</v>
      </c>
      <c r="H32" s="66"/>
      <c r="I32" s="66" t="s">
        <v>812</v>
      </c>
      <c r="J32" s="68" t="s">
        <v>691</v>
      </c>
      <c r="K32" s="66" t="s">
        <v>692</v>
      </c>
      <c r="L32" s="66" t="s">
        <v>692</v>
      </c>
      <c r="M32" s="69" t="s">
        <v>813</v>
      </c>
      <c r="N32" s="66"/>
      <c r="O32" s="69" t="str">
        <f t="shared" si="0"/>
        <v>hbN.push(history["Hawke's Bay"][i].new);</v>
      </c>
    </row>
    <row r="33" spans="1:15" ht="15.75" thickBot="1" x14ac:dyDescent="0.35">
      <c r="A33" s="70" t="s">
        <v>777</v>
      </c>
      <c r="C33" s="66" t="s">
        <v>715</v>
      </c>
      <c r="D33" s="67" t="s">
        <v>716</v>
      </c>
      <c r="E33" s="67" t="s">
        <v>12</v>
      </c>
      <c r="F33" s="66" t="s">
        <v>12</v>
      </c>
      <c r="G33" s="66" t="s">
        <v>715</v>
      </c>
      <c r="H33" s="66"/>
      <c r="I33" s="66" t="s">
        <v>812</v>
      </c>
      <c r="J33" s="68" t="s">
        <v>691</v>
      </c>
      <c r="K33" s="66" t="s">
        <v>692</v>
      </c>
      <c r="L33" s="66" t="s">
        <v>692</v>
      </c>
      <c r="M33" s="69" t="s">
        <v>813</v>
      </c>
      <c r="N33" s="66"/>
      <c r="O33" s="69" t="str">
        <f t="shared" si="0"/>
        <v>huttN.push(history["Hutt Valley"][i].new);</v>
      </c>
    </row>
    <row r="34" spans="1:15" ht="15.75" thickBot="1" x14ac:dyDescent="0.35">
      <c r="A34" s="70" t="s">
        <v>778</v>
      </c>
      <c r="C34" s="66" t="s">
        <v>719</v>
      </c>
      <c r="D34" s="67" t="s">
        <v>720</v>
      </c>
      <c r="E34" s="67" t="s">
        <v>16</v>
      </c>
      <c r="F34" s="66" t="s">
        <v>16</v>
      </c>
      <c r="G34" s="66" t="s">
        <v>719</v>
      </c>
      <c r="H34" s="66"/>
      <c r="I34" s="66" t="s">
        <v>812</v>
      </c>
      <c r="J34" s="68" t="s">
        <v>691</v>
      </c>
      <c r="K34" s="66" t="s">
        <v>692</v>
      </c>
      <c r="L34" s="66" t="s">
        <v>692</v>
      </c>
      <c r="M34" s="69" t="s">
        <v>813</v>
      </c>
      <c r="N34" s="66"/>
      <c r="O34" s="69" t="str">
        <f t="shared" si="0"/>
        <v>lakeN.push(history["Lakes"][i].new);</v>
      </c>
    </row>
    <row r="35" spans="1:15" ht="15.75" thickBot="1" x14ac:dyDescent="0.35">
      <c r="A35" s="70" t="s">
        <v>779</v>
      </c>
      <c r="C35" s="66" t="s">
        <v>723</v>
      </c>
      <c r="D35" s="67" t="s">
        <v>724</v>
      </c>
      <c r="E35" s="67" t="s">
        <v>13</v>
      </c>
      <c r="F35" s="66" t="s">
        <v>13</v>
      </c>
      <c r="G35" s="66" t="s">
        <v>723</v>
      </c>
      <c r="H35" s="66"/>
      <c r="I35" s="66" t="s">
        <v>812</v>
      </c>
      <c r="J35" s="68" t="s">
        <v>691</v>
      </c>
      <c r="K35" s="66" t="s">
        <v>692</v>
      </c>
      <c r="L35" s="66" t="s">
        <v>692</v>
      </c>
      <c r="M35" s="69" t="s">
        <v>813</v>
      </c>
      <c r="N35" s="66"/>
      <c r="O35" s="69" t="str">
        <f t="shared" si="0"/>
        <v>midcN.push(history["MidCentral"][i].new);</v>
      </c>
    </row>
    <row r="36" spans="1:15" ht="39.299999999999997" thickBot="1" x14ac:dyDescent="0.35">
      <c r="A36" s="70" t="s">
        <v>780</v>
      </c>
      <c r="C36" s="66" t="s">
        <v>727</v>
      </c>
      <c r="D36" s="67" t="s">
        <v>728</v>
      </c>
      <c r="E36" s="67" t="s">
        <v>7</v>
      </c>
      <c r="F36" s="66" t="s">
        <v>7</v>
      </c>
      <c r="G36" s="66" t="s">
        <v>727</v>
      </c>
      <c r="H36" s="66"/>
      <c r="I36" s="66" t="s">
        <v>812</v>
      </c>
      <c r="J36" s="68" t="s">
        <v>691</v>
      </c>
      <c r="K36" s="66" t="s">
        <v>692</v>
      </c>
      <c r="L36" s="66" t="s">
        <v>692</v>
      </c>
      <c r="M36" s="69" t="s">
        <v>813</v>
      </c>
      <c r="N36" s="66"/>
      <c r="O36" s="69" t="str">
        <f t="shared" si="0"/>
        <v>nelN.push(history["Nelson Marlborough"][i].new);</v>
      </c>
    </row>
    <row r="37" spans="1:15" ht="15.75" thickBot="1" x14ac:dyDescent="0.35">
      <c r="A37" s="70" t="s">
        <v>781</v>
      </c>
      <c r="C37" s="66" t="s">
        <v>731</v>
      </c>
      <c r="D37" s="67" t="s">
        <v>732</v>
      </c>
      <c r="E37" s="67" t="s">
        <v>17</v>
      </c>
      <c r="F37" s="66" t="s">
        <v>17</v>
      </c>
      <c r="G37" s="66" t="s">
        <v>731</v>
      </c>
      <c r="H37" s="66"/>
      <c r="I37" s="66" t="s">
        <v>812</v>
      </c>
      <c r="J37" s="68" t="s">
        <v>691</v>
      </c>
      <c r="K37" s="66" t="s">
        <v>692</v>
      </c>
      <c r="L37" s="66" t="s">
        <v>692</v>
      </c>
      <c r="M37" s="69" t="s">
        <v>813</v>
      </c>
      <c r="N37" s="66"/>
      <c r="O37" s="69" t="str">
        <f t="shared" si="0"/>
        <v>nlandN.push(history["Northland"][i].new);</v>
      </c>
    </row>
    <row r="38" spans="1:15" ht="26.85" thickBot="1" x14ac:dyDescent="0.35">
      <c r="A38" s="70" t="s">
        <v>782</v>
      </c>
      <c r="C38" s="66" t="s">
        <v>735</v>
      </c>
      <c r="D38" s="67" t="s">
        <v>736</v>
      </c>
      <c r="E38" s="67" t="s">
        <v>8</v>
      </c>
      <c r="F38" s="66" t="s">
        <v>8</v>
      </c>
      <c r="G38" s="66" t="s">
        <v>735</v>
      </c>
      <c r="H38" s="66"/>
      <c r="I38" s="66" t="s">
        <v>812</v>
      </c>
      <c r="J38" s="68" t="s">
        <v>691</v>
      </c>
      <c r="K38" s="66" t="s">
        <v>692</v>
      </c>
      <c r="L38" s="66" t="s">
        <v>692</v>
      </c>
      <c r="M38" s="69" t="s">
        <v>813</v>
      </c>
      <c r="N38" s="66"/>
      <c r="O38" s="69" t="str">
        <f t="shared" si="0"/>
        <v>scantN.push(history["South Canterbury"][i].new);</v>
      </c>
    </row>
    <row r="39" spans="1:15" ht="15.75" thickBot="1" x14ac:dyDescent="0.35">
      <c r="A39" s="70" t="s">
        <v>783</v>
      </c>
      <c r="C39" s="66" t="s">
        <v>739</v>
      </c>
      <c r="D39" s="67" t="s">
        <v>740</v>
      </c>
      <c r="E39" s="67" t="s">
        <v>9</v>
      </c>
      <c r="F39" s="66" t="s">
        <v>9</v>
      </c>
      <c r="G39" s="66" t="s">
        <v>739</v>
      </c>
      <c r="H39" s="66"/>
      <c r="I39" s="66" t="s">
        <v>812</v>
      </c>
      <c r="J39" s="68" t="s">
        <v>691</v>
      </c>
      <c r="K39" s="66" t="s">
        <v>692</v>
      </c>
      <c r="L39" s="66" t="s">
        <v>692</v>
      </c>
      <c r="M39" s="69" t="s">
        <v>813</v>
      </c>
      <c r="N39" s="66"/>
      <c r="O39" s="69" t="str">
        <f t="shared" si="0"/>
        <v>sthrnN.push(history["Southern"][i].new);</v>
      </c>
    </row>
    <row r="40" spans="1:15" ht="15.75" thickBot="1" x14ac:dyDescent="0.35">
      <c r="A40" s="70" t="s">
        <v>784</v>
      </c>
      <c r="C40" s="66" t="s">
        <v>743</v>
      </c>
      <c r="D40" s="67" t="s">
        <v>744</v>
      </c>
      <c r="E40" s="67" t="s">
        <v>206</v>
      </c>
      <c r="F40" s="66" t="s">
        <v>206</v>
      </c>
      <c r="G40" s="66" t="s">
        <v>743</v>
      </c>
      <c r="H40" s="66"/>
      <c r="I40" s="66" t="s">
        <v>812</v>
      </c>
      <c r="J40" s="68" t="s">
        <v>691</v>
      </c>
      <c r="K40" s="66" t="s">
        <v>692</v>
      </c>
      <c r="L40" s="66" t="s">
        <v>692</v>
      </c>
      <c r="M40" s="69" t="s">
        <v>813</v>
      </c>
      <c r="N40" s="66"/>
      <c r="O40" s="69" t="str">
        <f t="shared" si="0"/>
        <v>tairN.push(history["Tairāwhiti"][i].new);</v>
      </c>
    </row>
    <row r="41" spans="1:15" ht="15.75" thickBot="1" x14ac:dyDescent="0.35">
      <c r="A41" s="70" t="s">
        <v>785</v>
      </c>
      <c r="C41" s="66" t="s">
        <v>747</v>
      </c>
      <c r="D41" s="67" t="s">
        <v>748</v>
      </c>
      <c r="E41" s="67" t="s">
        <v>14</v>
      </c>
      <c r="F41" s="66" t="s">
        <v>14</v>
      </c>
      <c r="G41" s="66" t="s">
        <v>747</v>
      </c>
      <c r="H41" s="66"/>
      <c r="I41" s="66" t="s">
        <v>812</v>
      </c>
      <c r="J41" s="68" t="s">
        <v>691</v>
      </c>
      <c r="K41" s="66" t="s">
        <v>692</v>
      </c>
      <c r="L41" s="66" t="s">
        <v>692</v>
      </c>
      <c r="M41" s="69" t="s">
        <v>813</v>
      </c>
      <c r="N41" s="66"/>
      <c r="O41" s="69" t="str">
        <f t="shared" si="0"/>
        <v>tarN.push(history["Taranaki"][i].new);</v>
      </c>
    </row>
    <row r="42" spans="1:15" ht="15.75" thickBot="1" x14ac:dyDescent="0.35">
      <c r="A42" s="70" t="s">
        <v>786</v>
      </c>
      <c r="C42" s="66" t="s">
        <v>751</v>
      </c>
      <c r="D42" s="67" t="s">
        <v>752</v>
      </c>
      <c r="E42" s="67" t="s">
        <v>10</v>
      </c>
      <c r="F42" s="66" t="s">
        <v>10</v>
      </c>
      <c r="G42" s="66" t="s">
        <v>751</v>
      </c>
      <c r="H42" s="66"/>
      <c r="I42" s="66" t="s">
        <v>812</v>
      </c>
      <c r="J42" s="68" t="s">
        <v>691</v>
      </c>
      <c r="K42" s="66" t="s">
        <v>692</v>
      </c>
      <c r="L42" s="66" t="s">
        <v>692</v>
      </c>
      <c r="M42" s="69" t="s">
        <v>813</v>
      </c>
      <c r="N42" s="66"/>
      <c r="O42" s="69" t="str">
        <f t="shared" si="0"/>
        <v>waikN.push(history["Waikato"][i].new);</v>
      </c>
    </row>
    <row r="43" spans="1:15" ht="15.75" thickBot="1" x14ac:dyDescent="0.35">
      <c r="A43" s="70" t="s">
        <v>787</v>
      </c>
      <c r="C43" s="66" t="s">
        <v>755</v>
      </c>
      <c r="D43" s="67" t="s">
        <v>756</v>
      </c>
      <c r="E43" s="67" t="s">
        <v>20</v>
      </c>
      <c r="F43" s="66" t="s">
        <v>20</v>
      </c>
      <c r="G43" s="66" t="s">
        <v>755</v>
      </c>
      <c r="H43" s="66"/>
      <c r="I43" s="66" t="s">
        <v>812</v>
      </c>
      <c r="J43" s="68" t="s">
        <v>691</v>
      </c>
      <c r="K43" s="66" t="s">
        <v>692</v>
      </c>
      <c r="L43" s="66" t="s">
        <v>692</v>
      </c>
      <c r="M43" s="69" t="s">
        <v>813</v>
      </c>
      <c r="N43" s="66"/>
      <c r="O43" s="69" t="str">
        <f t="shared" si="0"/>
        <v>wairaN.push(history["Wairarapa"][i].new);</v>
      </c>
    </row>
    <row r="44" spans="1:15" ht="26.85" thickBot="1" x14ac:dyDescent="0.35">
      <c r="A44" s="70" t="s">
        <v>788</v>
      </c>
      <c r="C44" s="66" t="s">
        <v>759</v>
      </c>
      <c r="D44" s="67" t="s">
        <v>760</v>
      </c>
      <c r="E44" s="67" t="s">
        <v>11</v>
      </c>
      <c r="F44" s="66" t="s">
        <v>11</v>
      </c>
      <c r="G44" s="66" t="s">
        <v>759</v>
      </c>
      <c r="H44" s="66"/>
      <c r="I44" s="66" t="s">
        <v>812</v>
      </c>
      <c r="J44" s="68" t="s">
        <v>691</v>
      </c>
      <c r="K44" s="66" t="s">
        <v>692</v>
      </c>
      <c r="L44" s="66" t="s">
        <v>692</v>
      </c>
      <c r="M44" s="69" t="s">
        <v>813</v>
      </c>
      <c r="N44" s="66"/>
      <c r="O44" s="69" t="str">
        <f t="shared" si="0"/>
        <v>waitN.push(history["Waitemata"][i].new);</v>
      </c>
    </row>
    <row r="45" spans="1:15" ht="26.85" thickBot="1" x14ac:dyDescent="0.35">
      <c r="A45" s="70" t="s">
        <v>789</v>
      </c>
      <c r="C45" s="66" t="s">
        <v>763</v>
      </c>
      <c r="D45" s="67" t="s">
        <v>764</v>
      </c>
      <c r="E45" s="67" t="s">
        <v>19</v>
      </c>
      <c r="F45" s="66" t="s">
        <v>19</v>
      </c>
      <c r="G45" s="66" t="s">
        <v>763</v>
      </c>
      <c r="H45" s="66"/>
      <c r="I45" s="66" t="s">
        <v>812</v>
      </c>
      <c r="J45" s="68" t="s">
        <v>691</v>
      </c>
      <c r="K45" s="66" t="s">
        <v>692</v>
      </c>
      <c r="L45" s="66" t="s">
        <v>692</v>
      </c>
      <c r="M45" s="69" t="s">
        <v>813</v>
      </c>
      <c r="N45" s="66"/>
      <c r="O45" s="69" t="str">
        <f t="shared" si="0"/>
        <v>wcoastN.push(history["West Coast"][i].new);</v>
      </c>
    </row>
    <row r="46" spans="1:15" ht="26.85" thickBot="1" x14ac:dyDescent="0.35">
      <c r="A46" s="70" t="s">
        <v>790</v>
      </c>
      <c r="C46" s="66" t="s">
        <v>767</v>
      </c>
      <c r="D46" s="67" t="s">
        <v>768</v>
      </c>
      <c r="E46" s="67" t="s">
        <v>769</v>
      </c>
      <c r="F46" s="66" t="s">
        <v>769</v>
      </c>
      <c r="G46" s="66" t="s">
        <v>767</v>
      </c>
      <c r="H46" s="66"/>
      <c r="I46" s="66" t="s">
        <v>812</v>
      </c>
      <c r="J46" s="68" t="s">
        <v>691</v>
      </c>
      <c r="K46" s="66" t="s">
        <v>692</v>
      </c>
      <c r="L46" s="66" t="s">
        <v>692</v>
      </c>
      <c r="M46" s="69" t="s">
        <v>813</v>
      </c>
      <c r="N46" s="66"/>
      <c r="O46" s="69" t="str">
        <f t="shared" si="0"/>
        <v>whanN.push(history["​Whanganui"][i].new);</v>
      </c>
    </row>
    <row r="47" spans="1:15" ht="15.75" thickBot="1" x14ac:dyDescent="0.35">
      <c r="A47" s="71"/>
    </row>
    <row r="48" spans="1:15" ht="15.75" thickBot="1" x14ac:dyDescent="0.35"/>
    <row r="49" spans="1:15" ht="15.75" thickBot="1" x14ac:dyDescent="0.35">
      <c r="A49" s="70" t="s">
        <v>791</v>
      </c>
      <c r="C49" s="66" t="s">
        <v>688</v>
      </c>
      <c r="D49" s="67" t="s">
        <v>689</v>
      </c>
      <c r="E49" s="67" t="s">
        <v>1</v>
      </c>
      <c r="F49" s="66" t="s">
        <v>1</v>
      </c>
      <c r="G49" s="66" t="s">
        <v>688</v>
      </c>
      <c r="H49" s="66"/>
      <c r="I49" s="66" t="s">
        <v>811</v>
      </c>
      <c r="J49" s="68" t="s">
        <v>691</v>
      </c>
      <c r="K49" s="66" t="s">
        <v>692</v>
      </c>
      <c r="L49" s="66" t="s">
        <v>692</v>
      </c>
      <c r="M49" s="69" t="s">
        <v>814</v>
      </c>
      <c r="N49" s="66"/>
      <c r="O49" s="69" t="str">
        <f>CONCATENATE(G49,I49,J49,K49,F49,L49,M49)</f>
        <v>auckT.push(history["Auckland"][i].total);</v>
      </c>
    </row>
    <row r="50" spans="1:15" ht="26.85" thickBot="1" x14ac:dyDescent="0.35">
      <c r="A50" s="70" t="s">
        <v>792</v>
      </c>
      <c r="C50" s="66" t="s">
        <v>695</v>
      </c>
      <c r="D50" s="67" t="s">
        <v>696</v>
      </c>
      <c r="E50" s="67" t="s">
        <v>2</v>
      </c>
      <c r="F50" s="66" t="s">
        <v>2</v>
      </c>
      <c r="G50" s="66" t="s">
        <v>695</v>
      </c>
      <c r="H50" s="66"/>
      <c r="I50" s="66" t="s">
        <v>811</v>
      </c>
      <c r="J50" s="68" t="s">
        <v>691</v>
      </c>
      <c r="K50" s="66" t="s">
        <v>692</v>
      </c>
      <c r="L50" s="66" t="s">
        <v>692</v>
      </c>
      <c r="M50" s="69" t="s">
        <v>814</v>
      </c>
      <c r="N50" s="66"/>
      <c r="O50" s="69" t="str">
        <f t="shared" ref="O50:O68" si="1">CONCATENATE(G50,I50,J50,K50,F50,L50,M50)</f>
        <v>bopT.push(history["Bay of Plenty"][i].total);</v>
      </c>
    </row>
    <row r="51" spans="1:15" ht="26.85" thickBot="1" x14ac:dyDescent="0.35">
      <c r="A51" s="70" t="s">
        <v>793</v>
      </c>
      <c r="C51" s="66" t="s">
        <v>699</v>
      </c>
      <c r="D51" s="67" t="s">
        <v>700</v>
      </c>
      <c r="E51" s="67" t="s">
        <v>3</v>
      </c>
      <c r="F51" s="66" t="s">
        <v>3</v>
      </c>
      <c r="G51" s="66" t="s">
        <v>699</v>
      </c>
      <c r="H51" s="66"/>
      <c r="I51" s="66" t="s">
        <v>811</v>
      </c>
      <c r="J51" s="68" t="s">
        <v>691</v>
      </c>
      <c r="K51" s="66" t="s">
        <v>692</v>
      </c>
      <c r="L51" s="66" t="s">
        <v>692</v>
      </c>
      <c r="M51" s="69" t="s">
        <v>814</v>
      </c>
      <c r="N51" s="66"/>
      <c r="O51" s="69" t="str">
        <f t="shared" si="1"/>
        <v>cantT.push(history["Canterbury"][i].total);</v>
      </c>
    </row>
    <row r="52" spans="1:15" ht="26.85" thickBot="1" x14ac:dyDescent="0.35">
      <c r="A52" s="70" t="s">
        <v>794</v>
      </c>
      <c r="C52" s="66" t="s">
        <v>703</v>
      </c>
      <c r="D52" s="67" t="s">
        <v>704</v>
      </c>
      <c r="E52" s="67" t="s">
        <v>4</v>
      </c>
      <c r="F52" s="66" t="s">
        <v>4</v>
      </c>
      <c r="G52" s="66" t="s">
        <v>703</v>
      </c>
      <c r="H52" s="66"/>
      <c r="I52" s="66" t="s">
        <v>811</v>
      </c>
      <c r="J52" s="68" t="s">
        <v>691</v>
      </c>
      <c r="K52" s="66" t="s">
        <v>692</v>
      </c>
      <c r="L52" s="66" t="s">
        <v>692</v>
      </c>
      <c r="M52" s="69" t="s">
        <v>814</v>
      </c>
      <c r="N52" s="66"/>
      <c r="O52" s="69" t="str">
        <f t="shared" si="1"/>
        <v>cacT.push(history["Capital and Coast"][i].total);</v>
      </c>
    </row>
    <row r="53" spans="1:15" ht="26.85" thickBot="1" x14ac:dyDescent="0.35">
      <c r="A53" s="70" t="s">
        <v>795</v>
      </c>
      <c r="C53" s="66" t="s">
        <v>707</v>
      </c>
      <c r="D53" s="67" t="s">
        <v>708</v>
      </c>
      <c r="E53" s="67" t="s">
        <v>5</v>
      </c>
      <c r="F53" s="66" t="s">
        <v>5</v>
      </c>
      <c r="G53" s="66" t="s">
        <v>707</v>
      </c>
      <c r="H53" s="66"/>
      <c r="I53" s="66" t="s">
        <v>811</v>
      </c>
      <c r="J53" s="68" t="s">
        <v>691</v>
      </c>
      <c r="K53" s="66" t="s">
        <v>692</v>
      </c>
      <c r="L53" s="66" t="s">
        <v>692</v>
      </c>
      <c r="M53" s="69" t="s">
        <v>814</v>
      </c>
      <c r="N53" s="66"/>
      <c r="O53" s="69" t="str">
        <f t="shared" si="1"/>
        <v>comaT.push(history["Counties Manukau"][i].total);</v>
      </c>
    </row>
    <row r="54" spans="1:15" ht="26.85" thickBot="1" x14ac:dyDescent="0.35">
      <c r="A54" s="70" t="s">
        <v>796</v>
      </c>
      <c r="C54" s="66" t="s">
        <v>711</v>
      </c>
      <c r="D54" s="67" t="s">
        <v>712</v>
      </c>
      <c r="E54" s="67" t="s">
        <v>6</v>
      </c>
      <c r="F54" s="66" t="s">
        <v>6</v>
      </c>
      <c r="G54" s="66" t="s">
        <v>711</v>
      </c>
      <c r="H54" s="66"/>
      <c r="I54" s="66" t="s">
        <v>811</v>
      </c>
      <c r="J54" s="68" t="s">
        <v>691</v>
      </c>
      <c r="K54" s="66" t="s">
        <v>692</v>
      </c>
      <c r="L54" s="66" t="s">
        <v>692</v>
      </c>
      <c r="M54" s="69" t="s">
        <v>814</v>
      </c>
      <c r="N54" s="66"/>
      <c r="O54" s="69" t="str">
        <f t="shared" si="1"/>
        <v>hbT.push(history["Hawke's Bay"][i].total);</v>
      </c>
    </row>
    <row r="55" spans="1:15" ht="15.75" thickBot="1" x14ac:dyDescent="0.35">
      <c r="A55" s="70" t="s">
        <v>797</v>
      </c>
      <c r="C55" s="66" t="s">
        <v>715</v>
      </c>
      <c r="D55" s="67" t="s">
        <v>716</v>
      </c>
      <c r="E55" s="67" t="s">
        <v>12</v>
      </c>
      <c r="F55" s="66" t="s">
        <v>12</v>
      </c>
      <c r="G55" s="66" t="s">
        <v>715</v>
      </c>
      <c r="H55" s="66"/>
      <c r="I55" s="66" t="s">
        <v>811</v>
      </c>
      <c r="J55" s="68" t="s">
        <v>691</v>
      </c>
      <c r="K55" s="66" t="s">
        <v>692</v>
      </c>
      <c r="L55" s="66" t="s">
        <v>692</v>
      </c>
      <c r="M55" s="69" t="s">
        <v>814</v>
      </c>
      <c r="N55" s="66"/>
      <c r="O55" s="69" t="str">
        <f t="shared" si="1"/>
        <v>huttT.push(history["Hutt Valley"][i].total);</v>
      </c>
    </row>
    <row r="56" spans="1:15" ht="15.75" thickBot="1" x14ac:dyDescent="0.35">
      <c r="A56" s="70" t="s">
        <v>798</v>
      </c>
      <c r="C56" s="66" t="s">
        <v>719</v>
      </c>
      <c r="D56" s="67" t="s">
        <v>720</v>
      </c>
      <c r="E56" s="67" t="s">
        <v>16</v>
      </c>
      <c r="F56" s="66" t="s">
        <v>16</v>
      </c>
      <c r="G56" s="66" t="s">
        <v>719</v>
      </c>
      <c r="H56" s="66"/>
      <c r="I56" s="66" t="s">
        <v>811</v>
      </c>
      <c r="J56" s="68" t="s">
        <v>691</v>
      </c>
      <c r="K56" s="66" t="s">
        <v>692</v>
      </c>
      <c r="L56" s="66" t="s">
        <v>692</v>
      </c>
      <c r="M56" s="69" t="s">
        <v>814</v>
      </c>
      <c r="N56" s="66"/>
      <c r="O56" s="69" t="str">
        <f t="shared" si="1"/>
        <v>lakeT.push(history["Lakes"][i].total);</v>
      </c>
    </row>
    <row r="57" spans="1:15" ht="15.75" thickBot="1" x14ac:dyDescent="0.35">
      <c r="A57" s="70" t="s">
        <v>799</v>
      </c>
      <c r="C57" s="66" t="s">
        <v>723</v>
      </c>
      <c r="D57" s="67" t="s">
        <v>724</v>
      </c>
      <c r="E57" s="67" t="s">
        <v>13</v>
      </c>
      <c r="F57" s="66" t="s">
        <v>13</v>
      </c>
      <c r="G57" s="66" t="s">
        <v>723</v>
      </c>
      <c r="H57" s="66"/>
      <c r="I57" s="66" t="s">
        <v>811</v>
      </c>
      <c r="J57" s="68" t="s">
        <v>691</v>
      </c>
      <c r="K57" s="66" t="s">
        <v>692</v>
      </c>
      <c r="L57" s="66" t="s">
        <v>692</v>
      </c>
      <c r="M57" s="69" t="s">
        <v>814</v>
      </c>
      <c r="N57" s="66"/>
      <c r="O57" s="69" t="str">
        <f t="shared" si="1"/>
        <v>midcT.push(history["MidCentral"][i].total);</v>
      </c>
    </row>
    <row r="58" spans="1:15" ht="39.299999999999997" thickBot="1" x14ac:dyDescent="0.35">
      <c r="A58" s="70" t="s">
        <v>800</v>
      </c>
      <c r="C58" s="66" t="s">
        <v>727</v>
      </c>
      <c r="D58" s="67" t="s">
        <v>728</v>
      </c>
      <c r="E58" s="67" t="s">
        <v>7</v>
      </c>
      <c r="F58" s="66" t="s">
        <v>7</v>
      </c>
      <c r="G58" s="66" t="s">
        <v>727</v>
      </c>
      <c r="H58" s="66"/>
      <c r="I58" s="66" t="s">
        <v>811</v>
      </c>
      <c r="J58" s="68" t="s">
        <v>691</v>
      </c>
      <c r="K58" s="66" t="s">
        <v>692</v>
      </c>
      <c r="L58" s="66" t="s">
        <v>692</v>
      </c>
      <c r="M58" s="69" t="s">
        <v>814</v>
      </c>
      <c r="N58" s="66"/>
      <c r="O58" s="69" t="str">
        <f t="shared" si="1"/>
        <v>nelT.push(history["Nelson Marlborough"][i].total);</v>
      </c>
    </row>
    <row r="59" spans="1:15" ht="15.75" thickBot="1" x14ac:dyDescent="0.35">
      <c r="A59" s="70" t="s">
        <v>801</v>
      </c>
      <c r="C59" s="66" t="s">
        <v>731</v>
      </c>
      <c r="D59" s="67" t="s">
        <v>732</v>
      </c>
      <c r="E59" s="67" t="s">
        <v>17</v>
      </c>
      <c r="F59" s="66" t="s">
        <v>17</v>
      </c>
      <c r="G59" s="66" t="s">
        <v>731</v>
      </c>
      <c r="H59" s="66"/>
      <c r="I59" s="66" t="s">
        <v>811</v>
      </c>
      <c r="J59" s="68" t="s">
        <v>691</v>
      </c>
      <c r="K59" s="66" t="s">
        <v>692</v>
      </c>
      <c r="L59" s="66" t="s">
        <v>692</v>
      </c>
      <c r="M59" s="69" t="s">
        <v>814</v>
      </c>
      <c r="N59" s="66"/>
      <c r="O59" s="69" t="str">
        <f t="shared" si="1"/>
        <v>nlandT.push(history["Northland"][i].total);</v>
      </c>
    </row>
    <row r="60" spans="1:15" ht="26.85" thickBot="1" x14ac:dyDescent="0.35">
      <c r="A60" s="70" t="s">
        <v>802</v>
      </c>
      <c r="C60" s="66" t="s">
        <v>735</v>
      </c>
      <c r="D60" s="67" t="s">
        <v>736</v>
      </c>
      <c r="E60" s="67" t="s">
        <v>8</v>
      </c>
      <c r="F60" s="66" t="s">
        <v>8</v>
      </c>
      <c r="G60" s="66" t="s">
        <v>735</v>
      </c>
      <c r="H60" s="66"/>
      <c r="I60" s="66" t="s">
        <v>811</v>
      </c>
      <c r="J60" s="68" t="s">
        <v>691</v>
      </c>
      <c r="K60" s="66" t="s">
        <v>692</v>
      </c>
      <c r="L60" s="66" t="s">
        <v>692</v>
      </c>
      <c r="M60" s="69" t="s">
        <v>814</v>
      </c>
      <c r="N60" s="66"/>
      <c r="O60" s="69" t="str">
        <f t="shared" si="1"/>
        <v>scantT.push(history["South Canterbury"][i].total);</v>
      </c>
    </row>
    <row r="61" spans="1:15" ht="15.75" thickBot="1" x14ac:dyDescent="0.35">
      <c r="A61" s="70" t="s">
        <v>803</v>
      </c>
      <c r="C61" s="66" t="s">
        <v>739</v>
      </c>
      <c r="D61" s="67" t="s">
        <v>740</v>
      </c>
      <c r="E61" s="67" t="s">
        <v>9</v>
      </c>
      <c r="F61" s="66" t="s">
        <v>9</v>
      </c>
      <c r="G61" s="66" t="s">
        <v>739</v>
      </c>
      <c r="H61" s="66"/>
      <c r="I61" s="66" t="s">
        <v>811</v>
      </c>
      <c r="J61" s="68" t="s">
        <v>691</v>
      </c>
      <c r="K61" s="66" t="s">
        <v>692</v>
      </c>
      <c r="L61" s="66" t="s">
        <v>692</v>
      </c>
      <c r="M61" s="69" t="s">
        <v>814</v>
      </c>
      <c r="N61" s="66"/>
      <c r="O61" s="69" t="str">
        <f t="shared" si="1"/>
        <v>sthrnT.push(history["Southern"][i].total);</v>
      </c>
    </row>
    <row r="62" spans="1:15" ht="15.75" thickBot="1" x14ac:dyDescent="0.35">
      <c r="A62" s="70" t="s">
        <v>804</v>
      </c>
      <c r="C62" s="66" t="s">
        <v>743</v>
      </c>
      <c r="D62" s="67" t="s">
        <v>744</v>
      </c>
      <c r="E62" s="67" t="s">
        <v>206</v>
      </c>
      <c r="F62" s="66" t="s">
        <v>206</v>
      </c>
      <c r="G62" s="66" t="s">
        <v>743</v>
      </c>
      <c r="H62" s="66"/>
      <c r="I62" s="66" t="s">
        <v>811</v>
      </c>
      <c r="J62" s="68" t="s">
        <v>691</v>
      </c>
      <c r="K62" s="66" t="s">
        <v>692</v>
      </c>
      <c r="L62" s="66" t="s">
        <v>692</v>
      </c>
      <c r="M62" s="69" t="s">
        <v>814</v>
      </c>
      <c r="N62" s="66"/>
      <c r="O62" s="69" t="str">
        <f t="shared" si="1"/>
        <v>tairT.push(history["Tairāwhiti"][i].total);</v>
      </c>
    </row>
    <row r="63" spans="1:15" ht="15.75" thickBot="1" x14ac:dyDescent="0.35">
      <c r="A63" s="70" t="s">
        <v>805</v>
      </c>
      <c r="C63" s="66" t="s">
        <v>747</v>
      </c>
      <c r="D63" s="67" t="s">
        <v>748</v>
      </c>
      <c r="E63" s="67" t="s">
        <v>14</v>
      </c>
      <c r="F63" s="66" t="s">
        <v>14</v>
      </c>
      <c r="G63" s="66" t="s">
        <v>747</v>
      </c>
      <c r="H63" s="66"/>
      <c r="I63" s="66" t="s">
        <v>811</v>
      </c>
      <c r="J63" s="68" t="s">
        <v>691</v>
      </c>
      <c r="K63" s="66" t="s">
        <v>692</v>
      </c>
      <c r="L63" s="66" t="s">
        <v>692</v>
      </c>
      <c r="M63" s="69" t="s">
        <v>814</v>
      </c>
      <c r="N63" s="66"/>
      <c r="O63" s="69" t="str">
        <f t="shared" si="1"/>
        <v>tarT.push(history["Taranaki"][i].total);</v>
      </c>
    </row>
    <row r="64" spans="1:15" ht="15.75" thickBot="1" x14ac:dyDescent="0.35">
      <c r="A64" s="70" t="s">
        <v>806</v>
      </c>
      <c r="C64" s="66" t="s">
        <v>751</v>
      </c>
      <c r="D64" s="67" t="s">
        <v>752</v>
      </c>
      <c r="E64" s="67" t="s">
        <v>10</v>
      </c>
      <c r="F64" s="66" t="s">
        <v>10</v>
      </c>
      <c r="G64" s="66" t="s">
        <v>751</v>
      </c>
      <c r="H64" s="66"/>
      <c r="I64" s="66" t="s">
        <v>811</v>
      </c>
      <c r="J64" s="68" t="s">
        <v>691</v>
      </c>
      <c r="K64" s="66" t="s">
        <v>692</v>
      </c>
      <c r="L64" s="66" t="s">
        <v>692</v>
      </c>
      <c r="M64" s="69" t="s">
        <v>814</v>
      </c>
      <c r="N64" s="66"/>
      <c r="O64" s="69" t="str">
        <f t="shared" si="1"/>
        <v>waikT.push(history["Waikato"][i].total);</v>
      </c>
    </row>
    <row r="65" spans="1:15" ht="15.75" thickBot="1" x14ac:dyDescent="0.35">
      <c r="A65" s="70" t="s">
        <v>807</v>
      </c>
      <c r="C65" s="66" t="s">
        <v>755</v>
      </c>
      <c r="D65" s="67" t="s">
        <v>756</v>
      </c>
      <c r="E65" s="67" t="s">
        <v>20</v>
      </c>
      <c r="F65" s="66" t="s">
        <v>20</v>
      </c>
      <c r="G65" s="66" t="s">
        <v>755</v>
      </c>
      <c r="H65" s="66"/>
      <c r="I65" s="66" t="s">
        <v>811</v>
      </c>
      <c r="J65" s="68" t="s">
        <v>691</v>
      </c>
      <c r="K65" s="66" t="s">
        <v>692</v>
      </c>
      <c r="L65" s="66" t="s">
        <v>692</v>
      </c>
      <c r="M65" s="69" t="s">
        <v>814</v>
      </c>
      <c r="N65" s="66"/>
      <c r="O65" s="69" t="str">
        <f t="shared" si="1"/>
        <v>wairaT.push(history["Wairarapa"][i].total);</v>
      </c>
    </row>
    <row r="66" spans="1:15" ht="26.85" thickBot="1" x14ac:dyDescent="0.35">
      <c r="A66" s="70" t="s">
        <v>808</v>
      </c>
      <c r="C66" s="66" t="s">
        <v>759</v>
      </c>
      <c r="D66" s="67" t="s">
        <v>760</v>
      </c>
      <c r="E66" s="67" t="s">
        <v>11</v>
      </c>
      <c r="F66" s="66" t="s">
        <v>11</v>
      </c>
      <c r="G66" s="66" t="s">
        <v>759</v>
      </c>
      <c r="H66" s="66"/>
      <c r="I66" s="66" t="s">
        <v>811</v>
      </c>
      <c r="J66" s="68" t="s">
        <v>691</v>
      </c>
      <c r="K66" s="66" t="s">
        <v>692</v>
      </c>
      <c r="L66" s="66" t="s">
        <v>692</v>
      </c>
      <c r="M66" s="69" t="s">
        <v>814</v>
      </c>
      <c r="N66" s="66"/>
      <c r="O66" s="69" t="str">
        <f t="shared" si="1"/>
        <v>waitT.push(history["Waitemata"][i].total);</v>
      </c>
    </row>
    <row r="67" spans="1:15" ht="26.85" thickBot="1" x14ac:dyDescent="0.35">
      <c r="A67" s="70" t="s">
        <v>809</v>
      </c>
      <c r="C67" s="66" t="s">
        <v>763</v>
      </c>
      <c r="D67" s="67" t="s">
        <v>764</v>
      </c>
      <c r="E67" s="67" t="s">
        <v>19</v>
      </c>
      <c r="F67" s="66" t="s">
        <v>19</v>
      </c>
      <c r="G67" s="66" t="s">
        <v>763</v>
      </c>
      <c r="H67" s="66"/>
      <c r="I67" s="66" t="s">
        <v>811</v>
      </c>
      <c r="J67" s="68" t="s">
        <v>691</v>
      </c>
      <c r="K67" s="66" t="s">
        <v>692</v>
      </c>
      <c r="L67" s="66" t="s">
        <v>692</v>
      </c>
      <c r="M67" s="69" t="s">
        <v>814</v>
      </c>
      <c r="N67" s="66"/>
      <c r="O67" s="69" t="str">
        <f t="shared" si="1"/>
        <v>wcoastT.push(history["West Coast"][i].total);</v>
      </c>
    </row>
    <row r="68" spans="1:15" ht="26.85" thickBot="1" x14ac:dyDescent="0.35">
      <c r="A68" s="70" t="s">
        <v>810</v>
      </c>
      <c r="C68" s="66" t="s">
        <v>767</v>
      </c>
      <c r="D68" s="67" t="s">
        <v>768</v>
      </c>
      <c r="E68" s="67" t="s">
        <v>769</v>
      </c>
      <c r="F68" s="66" t="s">
        <v>769</v>
      </c>
      <c r="G68" s="66" t="s">
        <v>767</v>
      </c>
      <c r="H68" s="66"/>
      <c r="I68" s="66" t="s">
        <v>811</v>
      </c>
      <c r="J68" s="68" t="s">
        <v>691</v>
      </c>
      <c r="K68" s="66" t="s">
        <v>692</v>
      </c>
      <c r="L68" s="66" t="s">
        <v>692</v>
      </c>
      <c r="M68" s="69" t="s">
        <v>814</v>
      </c>
      <c r="N68" s="66"/>
      <c r="O68" s="69" t="str">
        <f t="shared" si="1"/>
        <v>whanT.push(history["​Whanganui"][i].total);</v>
      </c>
    </row>
    <row r="69" spans="1:15" ht="15.75" thickBot="1" x14ac:dyDescent="0.35">
      <c r="A69" s="7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2" t="s">
        <v>830</v>
      </c>
      <c r="E3" s="13"/>
      <c r="F3" s="13"/>
      <c r="G3" s="13"/>
      <c r="H3" s="13"/>
      <c r="I3" s="13"/>
      <c r="J3" s="13"/>
    </row>
    <row r="4" spans="1:20" ht="15.75" x14ac:dyDescent="0.3">
      <c r="L4" s="74" t="s">
        <v>852</v>
      </c>
    </row>
    <row r="7" spans="1:20" ht="15.75" x14ac:dyDescent="0.3">
      <c r="A7" s="73" t="s">
        <v>850</v>
      </c>
      <c r="B7" s="6"/>
      <c r="C7" s="6"/>
      <c r="D7" s="6"/>
      <c r="E7" s="6"/>
      <c r="F7" s="6" t="str">
        <f>MID(A7,9,G7)</f>
        <v>auckT</v>
      </c>
      <c r="G7" s="6">
        <v>5</v>
      </c>
      <c r="H7" s="6"/>
      <c r="I7" s="6"/>
      <c r="J7" s="6" t="s">
        <v>853</v>
      </c>
      <c r="K7" s="74" t="s">
        <v>854</v>
      </c>
      <c r="L7" t="s">
        <v>851</v>
      </c>
      <c r="M7" t="s">
        <v>855</v>
      </c>
      <c r="N7" s="48" t="s">
        <v>856</v>
      </c>
      <c r="O7" s="48" t="s">
        <v>370</v>
      </c>
      <c r="P7" t="str">
        <f>CONCATENATE(J7,F7,L7,F7,M7,O7)</f>
        <v>${auckT[auckT.length-1]}</v>
      </c>
      <c r="Q7" s="6" t="s">
        <v>877</v>
      </c>
      <c r="S7" s="2" t="str">
        <f>CONCATENATE(J7,K7,F7,L7,F7,M7,N7)</f>
        <v>${cirRad*auckT[auckT.length-1]+0.25}</v>
      </c>
      <c r="T7" s="6" t="s">
        <v>857</v>
      </c>
    </row>
    <row r="8" spans="1:20" ht="15.75" x14ac:dyDescent="0.3">
      <c r="A8" s="73" t="s">
        <v>831</v>
      </c>
      <c r="B8" s="6"/>
      <c r="C8" s="6"/>
      <c r="D8" s="6"/>
      <c r="E8" s="6"/>
      <c r="F8" s="6" t="str">
        <f t="shared" ref="F8:F27" si="0">MID(A8,9,G8)</f>
        <v>bopT</v>
      </c>
      <c r="G8" s="6">
        <v>4</v>
      </c>
      <c r="H8" s="6"/>
      <c r="I8" s="6"/>
      <c r="J8" s="6" t="s">
        <v>853</v>
      </c>
      <c r="K8" s="74" t="s">
        <v>854</v>
      </c>
      <c r="L8" t="s">
        <v>851</v>
      </c>
      <c r="M8" t="s">
        <v>855</v>
      </c>
      <c r="N8" s="48" t="s">
        <v>856</v>
      </c>
      <c r="O8" s="48" t="s">
        <v>370</v>
      </c>
      <c r="P8" t="str">
        <f t="shared" ref="P8:P26" si="1">CONCATENATE(J8,F8,L8,F8,M8,O8)</f>
        <v>${bopT[bopT.length-1]}</v>
      </c>
      <c r="Q8" s="6" t="s">
        <v>878</v>
      </c>
      <c r="S8" s="2" t="str">
        <f t="shared" ref="S8:S26" si="2">CONCATENATE(J8,K8,F8,L8,F8,M8,N8)</f>
        <v>${cirRad*bopT[bopT.length-1]+0.25}</v>
      </c>
      <c r="T8" s="6" t="s">
        <v>858</v>
      </c>
    </row>
    <row r="9" spans="1:20" ht="15.75" x14ac:dyDescent="0.3">
      <c r="A9" s="73" t="s">
        <v>832</v>
      </c>
      <c r="B9" s="6"/>
      <c r="C9" s="6"/>
      <c r="D9" s="6"/>
      <c r="E9" s="6"/>
      <c r="F9" s="6" t="str">
        <f t="shared" si="0"/>
        <v>cantT</v>
      </c>
      <c r="G9" s="6">
        <v>5</v>
      </c>
      <c r="H9" s="6"/>
      <c r="I9" s="6"/>
      <c r="J9" s="6" t="s">
        <v>853</v>
      </c>
      <c r="K9" s="74" t="s">
        <v>854</v>
      </c>
      <c r="L9" t="s">
        <v>851</v>
      </c>
      <c r="M9" t="s">
        <v>855</v>
      </c>
      <c r="N9" s="48" t="s">
        <v>856</v>
      </c>
      <c r="O9" s="48" t="s">
        <v>370</v>
      </c>
      <c r="P9" t="str">
        <f t="shared" si="1"/>
        <v>${cantT[cantT.length-1]}</v>
      </c>
      <c r="Q9" s="6" t="s">
        <v>879</v>
      </c>
      <c r="S9" s="2" t="str">
        <f t="shared" si="2"/>
        <v>${cirRad*cantT[cantT.length-1]+0.25}</v>
      </c>
      <c r="T9" s="6" t="s">
        <v>859</v>
      </c>
    </row>
    <row r="10" spans="1:20" ht="15.75" x14ac:dyDescent="0.3">
      <c r="A10" s="73" t="s">
        <v>833</v>
      </c>
      <c r="B10" s="6"/>
      <c r="C10" s="6"/>
      <c r="D10" s="6"/>
      <c r="E10" s="6"/>
      <c r="F10" s="6" t="str">
        <f t="shared" si="0"/>
        <v>cacT</v>
      </c>
      <c r="G10" s="6">
        <v>4</v>
      </c>
      <c r="H10" s="6"/>
      <c r="I10" s="6"/>
      <c r="J10" s="6" t="s">
        <v>853</v>
      </c>
      <c r="K10" s="74" t="s">
        <v>854</v>
      </c>
      <c r="L10" t="s">
        <v>851</v>
      </c>
      <c r="M10" t="s">
        <v>855</v>
      </c>
      <c r="N10" s="48" t="s">
        <v>856</v>
      </c>
      <c r="O10" s="48" t="s">
        <v>370</v>
      </c>
      <c r="P10" t="str">
        <f t="shared" si="1"/>
        <v>${cacT[cacT.length-1]}</v>
      </c>
      <c r="Q10" s="6" t="s">
        <v>880</v>
      </c>
      <c r="S10" s="2" t="str">
        <f t="shared" si="2"/>
        <v>${cirRad*cacT[cacT.length-1]+0.25}</v>
      </c>
      <c r="T10" s="6" t="s">
        <v>860</v>
      </c>
    </row>
    <row r="11" spans="1:20" ht="15.75" x14ac:dyDescent="0.3">
      <c r="A11" s="73" t="s">
        <v>834</v>
      </c>
      <c r="B11" s="6"/>
      <c r="C11" s="6"/>
      <c r="D11" s="6"/>
      <c r="E11" s="6"/>
      <c r="F11" s="6" t="str">
        <f t="shared" si="0"/>
        <v>comaT</v>
      </c>
      <c r="G11" s="6">
        <v>5</v>
      </c>
      <c r="H11" s="6"/>
      <c r="I11" s="6"/>
      <c r="J11" s="6" t="s">
        <v>853</v>
      </c>
      <c r="K11" s="74" t="s">
        <v>854</v>
      </c>
      <c r="L11" t="s">
        <v>851</v>
      </c>
      <c r="M11" t="s">
        <v>855</v>
      </c>
      <c r="N11" s="48" t="s">
        <v>856</v>
      </c>
      <c r="O11" s="48" t="s">
        <v>370</v>
      </c>
      <c r="P11" t="str">
        <f t="shared" si="1"/>
        <v>${comaT[comaT.length-1]}</v>
      </c>
      <c r="Q11" s="6" t="s">
        <v>881</v>
      </c>
      <c r="S11" s="2" t="str">
        <f t="shared" si="2"/>
        <v>${cirRad*comaT[comaT.length-1]+0.25}</v>
      </c>
      <c r="T11" s="6" t="s">
        <v>861</v>
      </c>
    </row>
    <row r="12" spans="1:20" ht="15.75" x14ac:dyDescent="0.3">
      <c r="A12" s="73" t="s">
        <v>835</v>
      </c>
      <c r="B12" s="6"/>
      <c r="C12" s="6"/>
      <c r="D12" s="6"/>
      <c r="E12" s="6"/>
      <c r="F12" s="6" t="str">
        <f t="shared" si="0"/>
        <v>hbT</v>
      </c>
      <c r="G12" s="6">
        <v>3</v>
      </c>
      <c r="H12" s="6"/>
      <c r="I12" s="6"/>
      <c r="J12" s="6" t="s">
        <v>853</v>
      </c>
      <c r="K12" s="74" t="s">
        <v>854</v>
      </c>
      <c r="L12" t="s">
        <v>851</v>
      </c>
      <c r="M12" t="s">
        <v>855</v>
      </c>
      <c r="N12" s="48" t="s">
        <v>856</v>
      </c>
      <c r="O12" s="48" t="s">
        <v>370</v>
      </c>
      <c r="P12" t="str">
        <f t="shared" si="1"/>
        <v>${hbT[hbT.length-1]}</v>
      </c>
      <c r="Q12" s="6" t="s">
        <v>882</v>
      </c>
      <c r="S12" s="2" t="str">
        <f t="shared" si="2"/>
        <v>${cirRad*hbT[hbT.length-1]+0.25}</v>
      </c>
      <c r="T12" s="6" t="s">
        <v>862</v>
      </c>
    </row>
    <row r="13" spans="1:20" ht="15.75" x14ac:dyDescent="0.3">
      <c r="A13" s="73" t="s">
        <v>836</v>
      </c>
      <c r="B13" s="6"/>
      <c r="C13" s="6"/>
      <c r="D13" s="6"/>
      <c r="E13" s="6"/>
      <c r="F13" s="6" t="str">
        <f t="shared" si="0"/>
        <v>huttT</v>
      </c>
      <c r="G13" s="6">
        <v>5</v>
      </c>
      <c r="H13" s="6"/>
      <c r="I13" s="6"/>
      <c r="J13" s="6" t="s">
        <v>853</v>
      </c>
      <c r="K13" s="74" t="s">
        <v>854</v>
      </c>
      <c r="L13" t="s">
        <v>851</v>
      </c>
      <c r="M13" t="s">
        <v>855</v>
      </c>
      <c r="N13" s="48" t="s">
        <v>856</v>
      </c>
      <c r="O13" s="48" t="s">
        <v>370</v>
      </c>
      <c r="P13" t="str">
        <f t="shared" si="1"/>
        <v>${huttT[huttT.length-1]}</v>
      </c>
      <c r="Q13" s="6" t="s">
        <v>883</v>
      </c>
      <c r="S13" t="str">
        <f t="shared" si="2"/>
        <v>${cirRad*huttT[huttT.length-1]+0.25}</v>
      </c>
      <c r="T13" s="6" t="s">
        <v>863</v>
      </c>
    </row>
    <row r="14" spans="1:20" ht="15.75" x14ac:dyDescent="0.3">
      <c r="A14" s="73" t="s">
        <v>837</v>
      </c>
      <c r="B14" s="6"/>
      <c r="C14" s="6"/>
      <c r="D14" s="6"/>
      <c r="E14" s="6"/>
      <c r="F14" s="6" t="str">
        <f t="shared" si="0"/>
        <v>lakeT</v>
      </c>
      <c r="G14" s="6">
        <v>5</v>
      </c>
      <c r="H14" s="6"/>
      <c r="I14" s="6"/>
      <c r="J14" s="6" t="s">
        <v>853</v>
      </c>
      <c r="K14" s="74" t="s">
        <v>854</v>
      </c>
      <c r="L14" t="s">
        <v>851</v>
      </c>
      <c r="M14" t="s">
        <v>855</v>
      </c>
      <c r="N14" s="48" t="s">
        <v>856</v>
      </c>
      <c r="O14" s="48" t="s">
        <v>370</v>
      </c>
      <c r="P14" t="str">
        <f t="shared" si="1"/>
        <v>${lakeT[lakeT.length-1]}</v>
      </c>
      <c r="Q14" s="6" t="s">
        <v>884</v>
      </c>
      <c r="S14" t="str">
        <f t="shared" si="2"/>
        <v>${cirRad*lakeT[lakeT.length-1]+0.25}</v>
      </c>
      <c r="T14" s="6" t="s">
        <v>864</v>
      </c>
    </row>
    <row r="15" spans="1:20" ht="15.75" x14ac:dyDescent="0.3">
      <c r="A15" s="73" t="s">
        <v>838</v>
      </c>
      <c r="B15" s="6"/>
      <c r="C15" s="6"/>
      <c r="D15" s="6"/>
      <c r="E15" s="6"/>
      <c r="F15" s="6" t="str">
        <f t="shared" si="0"/>
        <v>midcT</v>
      </c>
      <c r="G15" s="6">
        <v>5</v>
      </c>
      <c r="H15" s="6"/>
      <c r="I15" s="6"/>
      <c r="J15" s="6" t="s">
        <v>853</v>
      </c>
      <c r="K15" s="74" t="s">
        <v>854</v>
      </c>
      <c r="L15" t="s">
        <v>851</v>
      </c>
      <c r="M15" t="s">
        <v>855</v>
      </c>
      <c r="N15" s="48" t="s">
        <v>856</v>
      </c>
      <c r="O15" s="48" t="s">
        <v>370</v>
      </c>
      <c r="P15" t="str">
        <f t="shared" si="1"/>
        <v>${midcT[midcT.length-1]}</v>
      </c>
      <c r="Q15" s="6" t="s">
        <v>885</v>
      </c>
      <c r="S15" t="str">
        <f t="shared" si="2"/>
        <v>${cirRad*midcT[midcT.length-1]+0.25}</v>
      </c>
      <c r="T15" s="6" t="s">
        <v>865</v>
      </c>
    </row>
    <row r="16" spans="1:20" ht="15.75" x14ac:dyDescent="0.3">
      <c r="A16" s="73" t="s">
        <v>839</v>
      </c>
      <c r="B16" s="6"/>
      <c r="C16" s="6"/>
      <c r="D16" s="6"/>
      <c r="E16" s="6"/>
      <c r="F16" s="6" t="str">
        <f t="shared" si="0"/>
        <v>nelT</v>
      </c>
      <c r="G16" s="6">
        <v>4</v>
      </c>
      <c r="H16" s="6"/>
      <c r="I16" s="6"/>
      <c r="J16" s="6" t="s">
        <v>853</v>
      </c>
      <c r="K16" s="74" t="s">
        <v>854</v>
      </c>
      <c r="L16" t="s">
        <v>851</v>
      </c>
      <c r="M16" t="s">
        <v>855</v>
      </c>
      <c r="N16" s="48" t="s">
        <v>856</v>
      </c>
      <c r="O16" s="48" t="s">
        <v>370</v>
      </c>
      <c r="P16" t="str">
        <f t="shared" si="1"/>
        <v>${nelT[nelT.length-1]}</v>
      </c>
      <c r="Q16" s="6" t="s">
        <v>886</v>
      </c>
      <c r="S16" t="str">
        <f t="shared" si="2"/>
        <v>${cirRad*nelT[nelT.length-1]+0.25}</v>
      </c>
      <c r="T16" s="6" t="s">
        <v>866</v>
      </c>
    </row>
    <row r="17" spans="1:20" ht="15.75" x14ac:dyDescent="0.3">
      <c r="A17" s="73" t="s">
        <v>840</v>
      </c>
      <c r="B17" s="6"/>
      <c r="C17" s="6"/>
      <c r="D17" s="6"/>
      <c r="E17" s="6"/>
      <c r="F17" s="6" t="str">
        <f t="shared" si="0"/>
        <v>nlandT</v>
      </c>
      <c r="G17" s="6">
        <v>6</v>
      </c>
      <c r="H17" s="6"/>
      <c r="I17" s="6"/>
      <c r="J17" s="6" t="s">
        <v>853</v>
      </c>
      <c r="K17" s="74" t="s">
        <v>854</v>
      </c>
      <c r="L17" t="s">
        <v>851</v>
      </c>
      <c r="M17" t="s">
        <v>855</v>
      </c>
      <c r="N17" s="48" t="s">
        <v>856</v>
      </c>
      <c r="O17" s="48" t="s">
        <v>370</v>
      </c>
      <c r="P17" t="str">
        <f t="shared" si="1"/>
        <v>${nlandT[nlandT.length-1]}</v>
      </c>
      <c r="Q17" s="6" t="s">
        <v>887</v>
      </c>
      <c r="S17" t="str">
        <f t="shared" si="2"/>
        <v>${cirRad*nlandT[nlandT.length-1]+0.25}</v>
      </c>
      <c r="T17" s="6" t="s">
        <v>867</v>
      </c>
    </row>
    <row r="18" spans="1:20" ht="15.75" x14ac:dyDescent="0.3">
      <c r="A18" s="73" t="s">
        <v>841</v>
      </c>
      <c r="B18" s="6"/>
      <c r="C18" s="6"/>
      <c r="D18" s="6"/>
      <c r="E18" s="6"/>
      <c r="F18" s="6" t="str">
        <f t="shared" si="0"/>
        <v>scantT</v>
      </c>
      <c r="G18" s="6">
        <v>6</v>
      </c>
      <c r="H18" s="6"/>
      <c r="I18" s="6"/>
      <c r="J18" s="6" t="s">
        <v>853</v>
      </c>
      <c r="K18" s="74" t="s">
        <v>854</v>
      </c>
      <c r="L18" t="s">
        <v>851</v>
      </c>
      <c r="M18" t="s">
        <v>855</v>
      </c>
      <c r="N18" s="48" t="s">
        <v>856</v>
      </c>
      <c r="O18" s="48" t="s">
        <v>370</v>
      </c>
      <c r="P18" t="str">
        <f t="shared" si="1"/>
        <v>${scantT[scantT.length-1]}</v>
      </c>
      <c r="Q18" s="6" t="s">
        <v>888</v>
      </c>
      <c r="S18" t="str">
        <f t="shared" si="2"/>
        <v>${cirRad*scantT[scantT.length-1]+0.25}</v>
      </c>
      <c r="T18" s="6" t="s">
        <v>868</v>
      </c>
    </row>
    <row r="19" spans="1:20" ht="15.75" x14ac:dyDescent="0.3">
      <c r="A19" s="73" t="s">
        <v>842</v>
      </c>
      <c r="B19" s="6"/>
      <c r="C19" s="6"/>
      <c r="D19" s="6"/>
      <c r="E19" s="6"/>
      <c r="F19" s="6" t="str">
        <f t="shared" si="0"/>
        <v>sthrnT</v>
      </c>
      <c r="G19" s="6">
        <v>6</v>
      </c>
      <c r="H19" s="6"/>
      <c r="I19" s="6"/>
      <c r="J19" s="6" t="s">
        <v>853</v>
      </c>
      <c r="K19" s="74" t="s">
        <v>854</v>
      </c>
      <c r="L19" t="s">
        <v>851</v>
      </c>
      <c r="M19" t="s">
        <v>855</v>
      </c>
      <c r="N19" s="48" t="s">
        <v>856</v>
      </c>
      <c r="O19" s="48" t="s">
        <v>370</v>
      </c>
      <c r="P19" t="str">
        <f t="shared" si="1"/>
        <v>${sthrnT[sthrnT.length-1]}</v>
      </c>
      <c r="Q19" s="6" t="s">
        <v>889</v>
      </c>
      <c r="S19" t="str">
        <f t="shared" si="2"/>
        <v>${cirRad*sthrnT[sthrnT.length-1]+0.25}</v>
      </c>
      <c r="T19" s="6" t="s">
        <v>869</v>
      </c>
    </row>
    <row r="20" spans="1:20" ht="15.75" x14ac:dyDescent="0.3">
      <c r="A20" s="73" t="s">
        <v>843</v>
      </c>
      <c r="B20" s="6"/>
      <c r="C20" s="6"/>
      <c r="D20" s="6"/>
      <c r="E20" s="6"/>
      <c r="F20" s="6" t="str">
        <f t="shared" si="0"/>
        <v>tairT</v>
      </c>
      <c r="G20" s="6">
        <v>5</v>
      </c>
      <c r="H20" s="6"/>
      <c r="I20" s="6"/>
      <c r="J20" s="6" t="s">
        <v>853</v>
      </c>
      <c r="K20" s="74" t="s">
        <v>854</v>
      </c>
      <c r="L20" t="s">
        <v>851</v>
      </c>
      <c r="M20" t="s">
        <v>855</v>
      </c>
      <c r="N20" s="48" t="s">
        <v>856</v>
      </c>
      <c r="O20" s="48" t="s">
        <v>370</v>
      </c>
      <c r="P20" t="str">
        <f t="shared" si="1"/>
        <v>${tairT[tairT.length-1]}</v>
      </c>
      <c r="Q20" s="6" t="s">
        <v>890</v>
      </c>
      <c r="S20" t="str">
        <f t="shared" si="2"/>
        <v>${cirRad*tairT[tairT.length-1]+0.25}</v>
      </c>
      <c r="T20" s="6" t="s">
        <v>870</v>
      </c>
    </row>
    <row r="21" spans="1:20" ht="15.75" x14ac:dyDescent="0.3">
      <c r="A21" s="73" t="s">
        <v>844</v>
      </c>
      <c r="B21" s="6"/>
      <c r="C21" s="6"/>
      <c r="D21" s="6"/>
      <c r="E21" s="6"/>
      <c r="F21" s="6" t="str">
        <f t="shared" si="0"/>
        <v>tarT</v>
      </c>
      <c r="G21" s="6">
        <v>4</v>
      </c>
      <c r="H21" s="6"/>
      <c r="I21" s="6"/>
      <c r="J21" s="6" t="s">
        <v>853</v>
      </c>
      <c r="K21" s="74" t="s">
        <v>854</v>
      </c>
      <c r="L21" t="s">
        <v>851</v>
      </c>
      <c r="M21" t="s">
        <v>855</v>
      </c>
      <c r="N21" s="48" t="s">
        <v>856</v>
      </c>
      <c r="O21" s="48" t="s">
        <v>370</v>
      </c>
      <c r="P21" t="str">
        <f t="shared" si="1"/>
        <v>${tarT[tarT.length-1]}</v>
      </c>
      <c r="Q21" s="6" t="s">
        <v>891</v>
      </c>
      <c r="S21" t="str">
        <f t="shared" si="2"/>
        <v>${cirRad*tarT[tarT.length-1]+0.25}</v>
      </c>
      <c r="T21" s="6" t="s">
        <v>871</v>
      </c>
    </row>
    <row r="22" spans="1:20" ht="15.75" x14ac:dyDescent="0.3">
      <c r="A22" s="73" t="s">
        <v>845</v>
      </c>
      <c r="B22" s="6"/>
      <c r="C22" s="6"/>
      <c r="D22" s="6"/>
      <c r="E22" s="6"/>
      <c r="F22" s="6" t="str">
        <f t="shared" si="0"/>
        <v>waikT</v>
      </c>
      <c r="G22" s="6">
        <v>5</v>
      </c>
      <c r="H22" s="6"/>
      <c r="I22" s="6"/>
      <c r="J22" s="6" t="s">
        <v>853</v>
      </c>
      <c r="K22" s="74" t="s">
        <v>854</v>
      </c>
      <c r="L22" t="s">
        <v>851</v>
      </c>
      <c r="M22" t="s">
        <v>855</v>
      </c>
      <c r="N22" s="48" t="s">
        <v>856</v>
      </c>
      <c r="O22" s="48" t="s">
        <v>370</v>
      </c>
      <c r="P22" t="str">
        <f t="shared" si="1"/>
        <v>${waikT[waikT.length-1]}</v>
      </c>
      <c r="Q22" s="6" t="s">
        <v>892</v>
      </c>
      <c r="S22" t="str">
        <f t="shared" si="2"/>
        <v>${cirRad*waikT[waikT.length-1]+0.25}</v>
      </c>
      <c r="T22" s="6" t="s">
        <v>872</v>
      </c>
    </row>
    <row r="23" spans="1:20" ht="15.75" x14ac:dyDescent="0.3">
      <c r="A23" s="73" t="s">
        <v>846</v>
      </c>
      <c r="B23" s="6"/>
      <c r="C23" s="6"/>
      <c r="D23" s="6"/>
      <c r="E23" s="6"/>
      <c r="F23" s="6" t="str">
        <f t="shared" si="0"/>
        <v>waira</v>
      </c>
      <c r="G23" s="6">
        <v>5</v>
      </c>
      <c r="H23" s="6"/>
      <c r="I23" s="6"/>
      <c r="J23" s="6" t="s">
        <v>853</v>
      </c>
      <c r="K23" s="74" t="s">
        <v>854</v>
      </c>
      <c r="L23" t="s">
        <v>851</v>
      </c>
      <c r="M23" t="s">
        <v>855</v>
      </c>
      <c r="N23" s="48" t="s">
        <v>856</v>
      </c>
      <c r="O23" s="48" t="s">
        <v>370</v>
      </c>
      <c r="P23" t="str">
        <f t="shared" si="1"/>
        <v>${waira[waira.length-1]}</v>
      </c>
      <c r="Q23" s="6" t="s">
        <v>893</v>
      </c>
      <c r="S23" t="str">
        <f t="shared" si="2"/>
        <v>${cirRad*waira[waira.length-1]+0.25}</v>
      </c>
      <c r="T23" s="6" t="s">
        <v>873</v>
      </c>
    </row>
    <row r="24" spans="1:20" ht="15.75" x14ac:dyDescent="0.3">
      <c r="A24" s="73" t="s">
        <v>847</v>
      </c>
      <c r="B24" s="6"/>
      <c r="C24" s="6"/>
      <c r="D24" s="6"/>
      <c r="E24" s="6"/>
      <c r="F24" s="6" t="str">
        <f t="shared" si="0"/>
        <v>waitT</v>
      </c>
      <c r="G24" s="6">
        <v>5</v>
      </c>
      <c r="H24" s="6"/>
      <c r="I24" s="6"/>
      <c r="J24" s="6" t="s">
        <v>853</v>
      </c>
      <c r="K24" s="74" t="s">
        <v>854</v>
      </c>
      <c r="L24" t="s">
        <v>851</v>
      </c>
      <c r="M24" t="s">
        <v>855</v>
      </c>
      <c r="N24" s="48" t="s">
        <v>856</v>
      </c>
      <c r="O24" s="48" t="s">
        <v>370</v>
      </c>
      <c r="P24" t="str">
        <f t="shared" si="1"/>
        <v>${waitT[waitT.length-1]}</v>
      </c>
      <c r="Q24" s="6" t="s">
        <v>894</v>
      </c>
      <c r="S24" t="str">
        <f t="shared" si="2"/>
        <v>${cirRad*waitT[waitT.length-1]+0.25}</v>
      </c>
      <c r="T24" s="6" t="s">
        <v>874</v>
      </c>
    </row>
    <row r="25" spans="1:20" ht="15.75" x14ac:dyDescent="0.3">
      <c r="A25" s="73" t="s">
        <v>848</v>
      </c>
      <c r="B25" s="6"/>
      <c r="C25" s="6"/>
      <c r="D25" s="6"/>
      <c r="E25" s="6"/>
      <c r="F25" s="6" t="str">
        <f t="shared" si="0"/>
        <v>wcoastT</v>
      </c>
      <c r="G25" s="6">
        <v>7</v>
      </c>
      <c r="H25" s="6"/>
      <c r="I25" s="6"/>
      <c r="J25" s="6" t="s">
        <v>853</v>
      </c>
      <c r="K25" s="74" t="s">
        <v>854</v>
      </c>
      <c r="L25" t="s">
        <v>851</v>
      </c>
      <c r="M25" t="s">
        <v>855</v>
      </c>
      <c r="N25" s="48" t="s">
        <v>856</v>
      </c>
      <c r="O25" s="48" t="s">
        <v>370</v>
      </c>
      <c r="P25" t="str">
        <f t="shared" si="1"/>
        <v>${wcoastT[wcoastT.length-1]}</v>
      </c>
      <c r="Q25" s="6" t="s">
        <v>895</v>
      </c>
      <c r="S25" t="str">
        <f t="shared" si="2"/>
        <v>${cirRad*wcoastT[wcoastT.length-1]+0.25}</v>
      </c>
      <c r="T25" s="6" t="s">
        <v>875</v>
      </c>
    </row>
    <row r="26" spans="1:20" ht="15.75" x14ac:dyDescent="0.3">
      <c r="A26" s="73" t="s">
        <v>849</v>
      </c>
      <c r="B26" s="6"/>
      <c r="C26" s="6"/>
      <c r="D26" s="6"/>
      <c r="E26" s="6"/>
      <c r="F26" s="6" t="str">
        <f t="shared" si="0"/>
        <v>whanT</v>
      </c>
      <c r="G26" s="6">
        <v>5</v>
      </c>
      <c r="H26" s="6"/>
      <c r="I26" s="6"/>
      <c r="J26" s="6" t="s">
        <v>853</v>
      </c>
      <c r="K26" s="74" t="s">
        <v>854</v>
      </c>
      <c r="L26" t="s">
        <v>851</v>
      </c>
      <c r="M26" t="s">
        <v>855</v>
      </c>
      <c r="N26" s="48" t="s">
        <v>856</v>
      </c>
      <c r="O26" s="48" t="s">
        <v>370</v>
      </c>
      <c r="P26" t="str">
        <f t="shared" si="1"/>
        <v>${whanT[whanT.length-1]}</v>
      </c>
      <c r="Q26" s="6" t="s">
        <v>896</v>
      </c>
      <c r="S26" t="str">
        <f t="shared" si="2"/>
        <v>${cirRad*whanT[whanT.length-1]+0.25}</v>
      </c>
      <c r="T26" s="6" t="s">
        <v>876</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C25" sqref="C25"/>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7"/>
    </row>
    <row r="2" spans="1:34" ht="15.75" x14ac:dyDescent="0.3">
      <c r="A2" t="s">
        <v>947</v>
      </c>
      <c r="C2" s="76" t="s">
        <v>918</v>
      </c>
    </row>
    <row r="3" spans="1:34" x14ac:dyDescent="0.3">
      <c r="A3" t="s">
        <v>948</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5" t="s">
        <v>897</v>
      </c>
      <c r="C4" s="52" t="str">
        <f t="shared" ref="C4:C23" si="0">LEFT(B4,FIND("&lt;title&gt;",B4)-1)</f>
        <v>&lt;g   id="Auckland" transform="translate(535 180)"&gt;</v>
      </c>
      <c r="D4" t="s">
        <v>917</v>
      </c>
      <c r="E4" t="s">
        <v>927</v>
      </c>
      <c r="F4" t="s">
        <v>1</v>
      </c>
      <c r="G4">
        <v>0</v>
      </c>
      <c r="I4" t="s">
        <v>515</v>
      </c>
      <c r="J4" t="str">
        <f>F4</f>
        <v>Auckland</v>
      </c>
      <c r="K4" t="s">
        <v>926</v>
      </c>
      <c r="L4" t="str">
        <f>J4</f>
        <v>Auckland</v>
      </c>
      <c r="M4" t="s">
        <v>925</v>
      </c>
      <c r="N4" t="s">
        <v>920</v>
      </c>
      <c r="O4" s="6" t="s">
        <v>959</v>
      </c>
      <c r="P4" s="6">
        <f>G4</f>
        <v>0</v>
      </c>
      <c r="Q4" s="6" t="s">
        <v>960</v>
      </c>
      <c r="R4" t="s">
        <v>921</v>
      </c>
      <c r="S4" s="6" t="s">
        <v>959</v>
      </c>
      <c r="T4" s="6">
        <f>G4</f>
        <v>0</v>
      </c>
      <c r="U4" s="6" t="s">
        <v>961</v>
      </c>
      <c r="V4" t="s">
        <v>922</v>
      </c>
      <c r="W4" s="6" t="s">
        <v>959</v>
      </c>
      <c r="X4" s="6">
        <f>G4</f>
        <v>0</v>
      </c>
      <c r="Y4" s="6" t="s">
        <v>962</v>
      </c>
      <c r="Z4" t="s">
        <v>919</v>
      </c>
      <c r="AA4" s="6" t="s">
        <v>959</v>
      </c>
      <c r="AB4" s="6">
        <f>G4</f>
        <v>0</v>
      </c>
      <c r="AC4" s="6" t="s">
        <v>963</v>
      </c>
      <c r="AD4" t="s">
        <v>923</v>
      </c>
      <c r="AE4" s="6" t="s">
        <v>959</v>
      </c>
      <c r="AF4" s="6">
        <f>G4</f>
        <v>0</v>
      </c>
      <c r="AG4" s="6" t="s">
        <v>964</v>
      </c>
      <c r="AH4" t="s">
        <v>924</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5" t="s">
        <v>898</v>
      </c>
      <c r="C5" s="52" t="str">
        <f t="shared" si="0"/>
        <v>&lt;g   id="Bay of Plenty" transform="translate(610 260)"&gt;</v>
      </c>
      <c r="D5" t="s">
        <v>917</v>
      </c>
      <c r="E5" t="s">
        <v>930</v>
      </c>
      <c r="F5" t="s">
        <v>2</v>
      </c>
      <c r="G5">
        <v>1</v>
      </c>
      <c r="I5" t="s">
        <v>515</v>
      </c>
      <c r="J5" t="str">
        <f t="shared" ref="J5:J23" si="2">F5</f>
        <v>Bay of Plenty</v>
      </c>
      <c r="K5" t="s">
        <v>926</v>
      </c>
      <c r="L5" t="str">
        <f t="shared" ref="L5:L23" si="3">J5</f>
        <v>Bay of Plenty</v>
      </c>
      <c r="M5" t="s">
        <v>925</v>
      </c>
      <c r="N5" t="s">
        <v>920</v>
      </c>
      <c r="O5" s="6" t="s">
        <v>959</v>
      </c>
      <c r="P5" s="6">
        <f t="shared" ref="P5:P23" si="4">G5</f>
        <v>1</v>
      </c>
      <c r="Q5" s="6" t="s">
        <v>960</v>
      </c>
      <c r="R5" t="s">
        <v>921</v>
      </c>
      <c r="S5" s="6" t="s">
        <v>959</v>
      </c>
      <c r="T5" s="6">
        <f t="shared" ref="T5:T23" si="5">G5</f>
        <v>1</v>
      </c>
      <c r="U5" s="6" t="s">
        <v>961</v>
      </c>
      <c r="V5" t="s">
        <v>922</v>
      </c>
      <c r="W5" s="6" t="s">
        <v>959</v>
      </c>
      <c r="X5" s="6">
        <f t="shared" ref="X5:X23" si="6">G5</f>
        <v>1</v>
      </c>
      <c r="Y5" s="6" t="s">
        <v>962</v>
      </c>
      <c r="Z5" t="s">
        <v>919</v>
      </c>
      <c r="AA5" s="6" t="s">
        <v>959</v>
      </c>
      <c r="AB5" s="6">
        <f t="shared" ref="AB5:AB23" si="7">G5</f>
        <v>1</v>
      </c>
      <c r="AC5" s="6" t="s">
        <v>963</v>
      </c>
      <c r="AD5" t="s">
        <v>923</v>
      </c>
      <c r="AE5" s="6" t="s">
        <v>959</v>
      </c>
      <c r="AF5" s="6">
        <f t="shared" ref="AF5:AF23" si="8">G5</f>
        <v>1</v>
      </c>
      <c r="AG5" s="6" t="s">
        <v>964</v>
      </c>
      <c r="AH5" t="s">
        <v>924</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5" t="s">
        <v>899</v>
      </c>
      <c r="C6" s="52" t="str">
        <f t="shared" si="0"/>
        <v>&lt;g   id="Canterbury" transform="translate(410 710.71)"&gt;</v>
      </c>
      <c r="D6" t="s">
        <v>917</v>
      </c>
      <c r="E6" t="s">
        <v>931</v>
      </c>
      <c r="F6" t="s">
        <v>3</v>
      </c>
      <c r="G6">
        <v>2</v>
      </c>
      <c r="I6" t="s">
        <v>515</v>
      </c>
      <c r="J6" t="str">
        <f t="shared" si="2"/>
        <v>Canterbury</v>
      </c>
      <c r="K6" t="s">
        <v>926</v>
      </c>
      <c r="L6" t="str">
        <f t="shared" si="3"/>
        <v>Canterbury</v>
      </c>
      <c r="M6" t="s">
        <v>925</v>
      </c>
      <c r="N6" t="s">
        <v>920</v>
      </c>
      <c r="O6" s="6" t="s">
        <v>959</v>
      </c>
      <c r="P6" s="6">
        <f t="shared" si="4"/>
        <v>2</v>
      </c>
      <c r="Q6" s="6" t="s">
        <v>960</v>
      </c>
      <c r="R6" t="s">
        <v>921</v>
      </c>
      <c r="S6" s="6" t="s">
        <v>959</v>
      </c>
      <c r="T6" s="6">
        <f t="shared" si="5"/>
        <v>2</v>
      </c>
      <c r="U6" s="6" t="s">
        <v>961</v>
      </c>
      <c r="V6" t="s">
        <v>922</v>
      </c>
      <c r="W6" s="6" t="s">
        <v>959</v>
      </c>
      <c r="X6" s="6">
        <f t="shared" si="6"/>
        <v>2</v>
      </c>
      <c r="Y6" s="6" t="s">
        <v>962</v>
      </c>
      <c r="Z6" t="s">
        <v>919</v>
      </c>
      <c r="AA6" s="6" t="s">
        <v>959</v>
      </c>
      <c r="AB6" s="6">
        <f t="shared" si="7"/>
        <v>2</v>
      </c>
      <c r="AC6" s="6" t="s">
        <v>963</v>
      </c>
      <c r="AD6" t="s">
        <v>923</v>
      </c>
      <c r="AE6" s="6" t="s">
        <v>959</v>
      </c>
      <c r="AF6" s="6">
        <f t="shared" si="8"/>
        <v>2</v>
      </c>
      <c r="AG6" s="6" t="s">
        <v>964</v>
      </c>
      <c r="AH6" t="s">
        <v>924</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5" t="s">
        <v>900</v>
      </c>
      <c r="C7" s="52" t="str">
        <f t="shared" si="0"/>
        <v>&lt;g   id="Capital and Coast" transform="translate(270 530)"&gt;</v>
      </c>
      <c r="D7" t="s">
        <v>917</v>
      </c>
      <c r="E7" t="s">
        <v>932</v>
      </c>
      <c r="F7" t="s">
        <v>4</v>
      </c>
      <c r="G7">
        <v>3</v>
      </c>
      <c r="I7" t="s">
        <v>515</v>
      </c>
      <c r="J7" t="str">
        <f t="shared" si="2"/>
        <v>Capital and Coast</v>
      </c>
      <c r="K7" t="s">
        <v>926</v>
      </c>
      <c r="L7" t="str">
        <f t="shared" si="3"/>
        <v>Capital and Coast</v>
      </c>
      <c r="M7" t="s">
        <v>925</v>
      </c>
      <c r="N7" t="s">
        <v>920</v>
      </c>
      <c r="O7" s="6" t="s">
        <v>959</v>
      </c>
      <c r="P7" s="6">
        <f t="shared" si="4"/>
        <v>3</v>
      </c>
      <c r="Q7" s="6" t="s">
        <v>960</v>
      </c>
      <c r="R7" t="s">
        <v>921</v>
      </c>
      <c r="S7" s="6" t="s">
        <v>959</v>
      </c>
      <c r="T7" s="6">
        <f t="shared" si="5"/>
        <v>3</v>
      </c>
      <c r="U7" s="6" t="s">
        <v>961</v>
      </c>
      <c r="V7" t="s">
        <v>922</v>
      </c>
      <c r="W7" s="6" t="s">
        <v>959</v>
      </c>
      <c r="X7" s="6">
        <f t="shared" si="6"/>
        <v>3</v>
      </c>
      <c r="Y7" s="6" t="s">
        <v>962</v>
      </c>
      <c r="Z7" t="s">
        <v>919</v>
      </c>
      <c r="AA7" s="6" t="s">
        <v>959</v>
      </c>
      <c r="AB7" s="6">
        <f t="shared" si="7"/>
        <v>3</v>
      </c>
      <c r="AC7" s="6" t="s">
        <v>963</v>
      </c>
      <c r="AD7" t="s">
        <v>923</v>
      </c>
      <c r="AE7" s="6" t="s">
        <v>959</v>
      </c>
      <c r="AF7" s="6">
        <f t="shared" si="8"/>
        <v>3</v>
      </c>
      <c r="AG7" s="6" t="s">
        <v>964</v>
      </c>
      <c r="AH7" t="s">
        <v>924</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5" t="s">
        <v>901</v>
      </c>
      <c r="C8" s="52" t="str">
        <f t="shared" si="0"/>
        <v>&lt;g   id="Counties Manukau" transform="translate(230 280)"&gt;</v>
      </c>
      <c r="D8" t="s">
        <v>917</v>
      </c>
      <c r="E8" t="s">
        <v>933</v>
      </c>
      <c r="F8" t="s">
        <v>5</v>
      </c>
      <c r="G8">
        <v>4</v>
      </c>
      <c r="I8" t="s">
        <v>515</v>
      </c>
      <c r="J8" t="str">
        <f t="shared" si="2"/>
        <v>Counties Manukau</v>
      </c>
      <c r="K8" t="s">
        <v>926</v>
      </c>
      <c r="L8" t="str">
        <f t="shared" si="3"/>
        <v>Counties Manukau</v>
      </c>
      <c r="M8" t="s">
        <v>925</v>
      </c>
      <c r="N8" t="s">
        <v>920</v>
      </c>
      <c r="O8" s="6" t="s">
        <v>959</v>
      </c>
      <c r="P8" s="6">
        <f t="shared" si="4"/>
        <v>4</v>
      </c>
      <c r="Q8" s="6" t="s">
        <v>960</v>
      </c>
      <c r="R8" t="s">
        <v>921</v>
      </c>
      <c r="S8" s="6" t="s">
        <v>959</v>
      </c>
      <c r="T8" s="6">
        <f t="shared" si="5"/>
        <v>4</v>
      </c>
      <c r="U8" s="6" t="s">
        <v>961</v>
      </c>
      <c r="V8" t="s">
        <v>922</v>
      </c>
      <c r="W8" s="6" t="s">
        <v>959</v>
      </c>
      <c r="X8" s="6">
        <f t="shared" si="6"/>
        <v>4</v>
      </c>
      <c r="Y8" s="6" t="s">
        <v>962</v>
      </c>
      <c r="Z8" t="s">
        <v>919</v>
      </c>
      <c r="AA8" s="6" t="s">
        <v>959</v>
      </c>
      <c r="AB8" s="6">
        <f t="shared" si="7"/>
        <v>4</v>
      </c>
      <c r="AC8" s="6" t="s">
        <v>963</v>
      </c>
      <c r="AD8" t="s">
        <v>923</v>
      </c>
      <c r="AE8" s="6" t="s">
        <v>959</v>
      </c>
      <c r="AF8" s="6">
        <f t="shared" si="8"/>
        <v>4</v>
      </c>
      <c r="AG8" s="6" t="s">
        <v>964</v>
      </c>
      <c r="AH8" t="s">
        <v>924</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5" t="s">
        <v>902</v>
      </c>
      <c r="C9" s="52" t="str">
        <f t="shared" si="0"/>
        <v>&lt;g   id="Hawke's Bay" transform="translate(640 430)"&gt;</v>
      </c>
      <c r="D9" t="s">
        <v>917</v>
      </c>
      <c r="E9" t="s">
        <v>934</v>
      </c>
      <c r="F9" t="s">
        <v>6</v>
      </c>
      <c r="G9">
        <v>5</v>
      </c>
      <c r="I9" t="s">
        <v>515</v>
      </c>
      <c r="J9" t="str">
        <f t="shared" si="2"/>
        <v>Hawke's Bay</v>
      </c>
      <c r="K9" t="s">
        <v>926</v>
      </c>
      <c r="L9" t="str">
        <f t="shared" si="3"/>
        <v>Hawke's Bay</v>
      </c>
      <c r="M9" t="s">
        <v>925</v>
      </c>
      <c r="N9" t="s">
        <v>920</v>
      </c>
      <c r="O9" s="6" t="s">
        <v>959</v>
      </c>
      <c r="P9" s="6">
        <f t="shared" si="4"/>
        <v>5</v>
      </c>
      <c r="Q9" s="6" t="s">
        <v>960</v>
      </c>
      <c r="R9" t="s">
        <v>921</v>
      </c>
      <c r="S9" s="6" t="s">
        <v>959</v>
      </c>
      <c r="T9" s="6">
        <f t="shared" si="5"/>
        <v>5</v>
      </c>
      <c r="U9" s="6" t="s">
        <v>961</v>
      </c>
      <c r="V9" t="s">
        <v>922</v>
      </c>
      <c r="W9" s="6" t="s">
        <v>959</v>
      </c>
      <c r="X9" s="6">
        <f t="shared" si="6"/>
        <v>5</v>
      </c>
      <c r="Y9" s="6" t="s">
        <v>962</v>
      </c>
      <c r="Z9" t="s">
        <v>919</v>
      </c>
      <c r="AA9" s="6" t="s">
        <v>959</v>
      </c>
      <c r="AB9" s="6">
        <f t="shared" si="7"/>
        <v>5</v>
      </c>
      <c r="AC9" s="6" t="s">
        <v>963</v>
      </c>
      <c r="AD9" t="s">
        <v>923</v>
      </c>
      <c r="AE9" s="6" t="s">
        <v>959</v>
      </c>
      <c r="AF9" s="6">
        <f t="shared" si="8"/>
        <v>5</v>
      </c>
      <c r="AG9" s="6" t="s">
        <v>964</v>
      </c>
      <c r="AH9" t="s">
        <v>924</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5" t="s">
        <v>903</v>
      </c>
      <c r="C10" s="52" t="str">
        <f t="shared" si="0"/>
        <v>&lt;g   id="Hutt Valley" transform="translate(520 585)"&gt;</v>
      </c>
      <c r="D10" t="s">
        <v>917</v>
      </c>
      <c r="E10" t="s">
        <v>935</v>
      </c>
      <c r="F10" t="s">
        <v>12</v>
      </c>
      <c r="G10">
        <v>6</v>
      </c>
      <c r="I10" t="s">
        <v>515</v>
      </c>
      <c r="J10" t="str">
        <f t="shared" si="2"/>
        <v>Hutt Valley</v>
      </c>
      <c r="K10" t="s">
        <v>926</v>
      </c>
      <c r="L10" t="str">
        <f t="shared" si="3"/>
        <v>Hutt Valley</v>
      </c>
      <c r="M10" t="s">
        <v>925</v>
      </c>
      <c r="N10" t="s">
        <v>920</v>
      </c>
      <c r="O10" s="6" t="s">
        <v>959</v>
      </c>
      <c r="P10" s="6">
        <f t="shared" si="4"/>
        <v>6</v>
      </c>
      <c r="Q10" s="6" t="s">
        <v>960</v>
      </c>
      <c r="R10" t="s">
        <v>921</v>
      </c>
      <c r="S10" s="6" t="s">
        <v>959</v>
      </c>
      <c r="T10" s="6">
        <f t="shared" si="5"/>
        <v>6</v>
      </c>
      <c r="U10" s="6" t="s">
        <v>961</v>
      </c>
      <c r="V10" t="s">
        <v>922</v>
      </c>
      <c r="W10" s="6" t="s">
        <v>959</v>
      </c>
      <c r="X10" s="6">
        <f t="shared" si="6"/>
        <v>6</v>
      </c>
      <c r="Y10" s="6" t="s">
        <v>962</v>
      </c>
      <c r="Z10" t="s">
        <v>919</v>
      </c>
      <c r="AA10" s="6" t="s">
        <v>959</v>
      </c>
      <c r="AB10" s="6">
        <f t="shared" si="7"/>
        <v>6</v>
      </c>
      <c r="AC10" s="6" t="s">
        <v>963</v>
      </c>
      <c r="AD10" t="s">
        <v>923</v>
      </c>
      <c r="AE10" s="6" t="s">
        <v>959</v>
      </c>
      <c r="AF10" s="6">
        <f t="shared" si="8"/>
        <v>6</v>
      </c>
      <c r="AG10" s="6" t="s">
        <v>964</v>
      </c>
      <c r="AH10" t="s">
        <v>924</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5" t="s">
        <v>904</v>
      </c>
      <c r="C11" s="52" t="str">
        <f t="shared" si="0"/>
        <v>&lt;g   id="Lakes" transform="translate(468.43 370)"&gt;</v>
      </c>
      <c r="D11" t="s">
        <v>917</v>
      </c>
      <c r="E11" t="s">
        <v>936</v>
      </c>
      <c r="F11" t="s">
        <v>16</v>
      </c>
      <c r="G11">
        <v>7</v>
      </c>
      <c r="I11" t="s">
        <v>515</v>
      </c>
      <c r="J11" t="str">
        <f t="shared" si="2"/>
        <v>Lakes</v>
      </c>
      <c r="K11" t="s">
        <v>926</v>
      </c>
      <c r="L11" t="str">
        <f t="shared" si="3"/>
        <v>Lakes</v>
      </c>
      <c r="M11" t="s">
        <v>925</v>
      </c>
      <c r="N11" t="s">
        <v>920</v>
      </c>
      <c r="O11" s="6" t="s">
        <v>959</v>
      </c>
      <c r="P11" s="6">
        <f t="shared" si="4"/>
        <v>7</v>
      </c>
      <c r="Q11" s="6" t="s">
        <v>960</v>
      </c>
      <c r="R11" t="s">
        <v>921</v>
      </c>
      <c r="S11" s="6" t="s">
        <v>959</v>
      </c>
      <c r="T11" s="6">
        <f t="shared" si="5"/>
        <v>7</v>
      </c>
      <c r="U11" s="6" t="s">
        <v>961</v>
      </c>
      <c r="V11" t="s">
        <v>922</v>
      </c>
      <c r="W11" s="6" t="s">
        <v>959</v>
      </c>
      <c r="X11" s="6">
        <f t="shared" si="6"/>
        <v>7</v>
      </c>
      <c r="Y11" s="6" t="s">
        <v>962</v>
      </c>
      <c r="Z11" t="s">
        <v>919</v>
      </c>
      <c r="AA11" s="6" t="s">
        <v>959</v>
      </c>
      <c r="AB11" s="6">
        <f t="shared" si="7"/>
        <v>7</v>
      </c>
      <c r="AC11" s="6" t="s">
        <v>963</v>
      </c>
      <c r="AD11" t="s">
        <v>923</v>
      </c>
      <c r="AE11" s="6" t="s">
        <v>959</v>
      </c>
      <c r="AF11" s="6">
        <f t="shared" si="8"/>
        <v>7</v>
      </c>
      <c r="AG11" s="6" t="s">
        <v>964</v>
      </c>
      <c r="AH11" t="s">
        <v>924</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5" t="s">
        <v>905</v>
      </c>
      <c r="C12" s="52" t="str">
        <f t="shared" si="0"/>
        <v>&lt;g   id="MidCentral" transform="translate(590 520)"&gt;</v>
      </c>
      <c r="D12" t="s">
        <v>917</v>
      </c>
      <c r="E12" t="s">
        <v>937</v>
      </c>
      <c r="F12" t="s">
        <v>13</v>
      </c>
      <c r="G12">
        <v>8</v>
      </c>
      <c r="I12" t="s">
        <v>515</v>
      </c>
      <c r="J12" t="str">
        <f t="shared" si="2"/>
        <v>MidCentral</v>
      </c>
      <c r="K12" t="s">
        <v>926</v>
      </c>
      <c r="L12" t="str">
        <f t="shared" si="3"/>
        <v>MidCentral</v>
      </c>
      <c r="M12" t="s">
        <v>925</v>
      </c>
      <c r="N12" t="s">
        <v>920</v>
      </c>
      <c r="O12" s="6" t="s">
        <v>959</v>
      </c>
      <c r="P12" s="6">
        <f t="shared" si="4"/>
        <v>8</v>
      </c>
      <c r="Q12" s="6" t="s">
        <v>960</v>
      </c>
      <c r="R12" t="s">
        <v>921</v>
      </c>
      <c r="S12" s="6" t="s">
        <v>959</v>
      </c>
      <c r="T12" s="6">
        <f t="shared" si="5"/>
        <v>8</v>
      </c>
      <c r="U12" s="6" t="s">
        <v>961</v>
      </c>
      <c r="V12" t="s">
        <v>922</v>
      </c>
      <c r="W12" s="6" t="s">
        <v>959</v>
      </c>
      <c r="X12" s="6">
        <f t="shared" si="6"/>
        <v>8</v>
      </c>
      <c r="Y12" s="6" t="s">
        <v>962</v>
      </c>
      <c r="Z12" t="s">
        <v>919</v>
      </c>
      <c r="AA12" s="6" t="s">
        <v>959</v>
      </c>
      <c r="AB12" s="6">
        <f t="shared" si="7"/>
        <v>8</v>
      </c>
      <c r="AC12" s="6" t="s">
        <v>963</v>
      </c>
      <c r="AD12" t="s">
        <v>923</v>
      </c>
      <c r="AE12" s="6" t="s">
        <v>959</v>
      </c>
      <c r="AF12" s="6">
        <f t="shared" si="8"/>
        <v>8</v>
      </c>
      <c r="AG12" s="6" t="s">
        <v>964</v>
      </c>
      <c r="AH12" t="s">
        <v>924</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5" t="s">
        <v>906</v>
      </c>
      <c r="C13" s="52" t="str">
        <f t="shared" si="0"/>
        <v>&lt;g   id="Nelson Marlborough" transform="translate(160 570)"&gt;</v>
      </c>
      <c r="D13" t="s">
        <v>917</v>
      </c>
      <c r="E13" t="s">
        <v>938</v>
      </c>
      <c r="F13" t="s">
        <v>7</v>
      </c>
      <c r="G13">
        <v>9</v>
      </c>
      <c r="I13" t="s">
        <v>515</v>
      </c>
      <c r="J13" t="str">
        <f t="shared" si="2"/>
        <v>Nelson Marlborough</v>
      </c>
      <c r="K13" t="s">
        <v>926</v>
      </c>
      <c r="L13" t="str">
        <f t="shared" si="3"/>
        <v>Nelson Marlborough</v>
      </c>
      <c r="M13" t="s">
        <v>925</v>
      </c>
      <c r="N13" t="s">
        <v>920</v>
      </c>
      <c r="O13" s="6" t="s">
        <v>959</v>
      </c>
      <c r="P13" s="6">
        <f t="shared" si="4"/>
        <v>9</v>
      </c>
      <c r="Q13" s="6" t="s">
        <v>960</v>
      </c>
      <c r="R13" t="s">
        <v>921</v>
      </c>
      <c r="S13" s="6" t="s">
        <v>959</v>
      </c>
      <c r="T13" s="6">
        <f t="shared" si="5"/>
        <v>9</v>
      </c>
      <c r="U13" s="6" t="s">
        <v>961</v>
      </c>
      <c r="V13" t="s">
        <v>922</v>
      </c>
      <c r="W13" s="6" t="s">
        <v>959</v>
      </c>
      <c r="X13" s="6">
        <f t="shared" si="6"/>
        <v>9</v>
      </c>
      <c r="Y13" s="6" t="s">
        <v>962</v>
      </c>
      <c r="Z13" t="s">
        <v>919</v>
      </c>
      <c r="AA13" s="6" t="s">
        <v>959</v>
      </c>
      <c r="AB13" s="6">
        <f t="shared" si="7"/>
        <v>9</v>
      </c>
      <c r="AC13" s="6" t="s">
        <v>963</v>
      </c>
      <c r="AD13" t="s">
        <v>923</v>
      </c>
      <c r="AE13" s="6" t="s">
        <v>959</v>
      </c>
      <c r="AF13" s="6">
        <f t="shared" si="8"/>
        <v>9</v>
      </c>
      <c r="AG13" s="6" t="s">
        <v>964</v>
      </c>
      <c r="AH13" t="s">
        <v>924</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5" t="s">
        <v>907</v>
      </c>
      <c r="C14" s="52" t="str">
        <f t="shared" si="0"/>
        <v>&lt;g   id="Northland" transform="translate(210 149.64)"&gt;</v>
      </c>
      <c r="D14" t="s">
        <v>917</v>
      </c>
      <c r="E14" t="s">
        <v>939</v>
      </c>
      <c r="F14" t="s">
        <v>17</v>
      </c>
      <c r="G14">
        <v>10</v>
      </c>
      <c r="I14" t="s">
        <v>515</v>
      </c>
      <c r="J14" t="str">
        <f t="shared" si="2"/>
        <v>Northland</v>
      </c>
      <c r="K14" t="s">
        <v>926</v>
      </c>
      <c r="L14" t="str">
        <f t="shared" si="3"/>
        <v>Northland</v>
      </c>
      <c r="M14" t="s">
        <v>925</v>
      </c>
      <c r="N14" t="s">
        <v>920</v>
      </c>
      <c r="O14" s="6" t="s">
        <v>959</v>
      </c>
      <c r="P14" s="6">
        <f t="shared" si="4"/>
        <v>10</v>
      </c>
      <c r="Q14" s="6" t="s">
        <v>960</v>
      </c>
      <c r="R14" t="s">
        <v>921</v>
      </c>
      <c r="S14" s="6" t="s">
        <v>959</v>
      </c>
      <c r="T14" s="6">
        <f t="shared" si="5"/>
        <v>10</v>
      </c>
      <c r="U14" s="6" t="s">
        <v>961</v>
      </c>
      <c r="V14" t="s">
        <v>922</v>
      </c>
      <c r="W14" s="6" t="s">
        <v>959</v>
      </c>
      <c r="X14" s="6">
        <f t="shared" si="6"/>
        <v>10</v>
      </c>
      <c r="Y14" s="6" t="s">
        <v>962</v>
      </c>
      <c r="Z14" t="s">
        <v>919</v>
      </c>
      <c r="AA14" s="6" t="s">
        <v>959</v>
      </c>
      <c r="AB14" s="6">
        <f t="shared" si="7"/>
        <v>10</v>
      </c>
      <c r="AC14" s="6" t="s">
        <v>963</v>
      </c>
      <c r="AD14" t="s">
        <v>923</v>
      </c>
      <c r="AE14" s="6" t="s">
        <v>959</v>
      </c>
      <c r="AF14" s="6">
        <f t="shared" si="8"/>
        <v>10</v>
      </c>
      <c r="AG14" s="6" t="s">
        <v>964</v>
      </c>
      <c r="AH14" t="s">
        <v>924</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5" t="s">
        <v>908</v>
      </c>
      <c r="C15" s="52" t="str">
        <f t="shared" si="0"/>
        <v>&lt;g   id="South Canterbury" transform="translate(385 798.18)"&gt;</v>
      </c>
      <c r="D15" t="s">
        <v>917</v>
      </c>
      <c r="E15" t="s">
        <v>946</v>
      </c>
      <c r="F15" t="s">
        <v>8</v>
      </c>
      <c r="G15">
        <v>11</v>
      </c>
      <c r="I15" t="s">
        <v>515</v>
      </c>
      <c r="J15" t="str">
        <f t="shared" si="2"/>
        <v>South Canterbury</v>
      </c>
      <c r="K15" t="s">
        <v>926</v>
      </c>
      <c r="L15" t="str">
        <f t="shared" si="3"/>
        <v>South Canterbury</v>
      </c>
      <c r="M15" t="s">
        <v>925</v>
      </c>
      <c r="N15" t="s">
        <v>920</v>
      </c>
      <c r="O15" s="6" t="s">
        <v>959</v>
      </c>
      <c r="P15" s="6">
        <f t="shared" si="4"/>
        <v>11</v>
      </c>
      <c r="Q15" s="6" t="s">
        <v>960</v>
      </c>
      <c r="R15" t="s">
        <v>921</v>
      </c>
      <c r="S15" s="6" t="s">
        <v>959</v>
      </c>
      <c r="T15" s="6">
        <f t="shared" si="5"/>
        <v>11</v>
      </c>
      <c r="U15" s="6" t="s">
        <v>961</v>
      </c>
      <c r="V15" t="s">
        <v>922</v>
      </c>
      <c r="W15" s="6" t="s">
        <v>959</v>
      </c>
      <c r="X15" s="6">
        <f t="shared" si="6"/>
        <v>11</v>
      </c>
      <c r="Y15" s="6" t="s">
        <v>962</v>
      </c>
      <c r="Z15" t="s">
        <v>919</v>
      </c>
      <c r="AA15" s="6" t="s">
        <v>959</v>
      </c>
      <c r="AB15" s="6">
        <f t="shared" si="7"/>
        <v>11</v>
      </c>
      <c r="AC15" s="6" t="s">
        <v>963</v>
      </c>
      <c r="AD15" t="s">
        <v>923</v>
      </c>
      <c r="AE15" s="6" t="s">
        <v>959</v>
      </c>
      <c r="AF15" s="6">
        <f t="shared" si="8"/>
        <v>11</v>
      </c>
      <c r="AG15" s="6" t="s">
        <v>964</v>
      </c>
      <c r="AH15" t="s">
        <v>924</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5" t="s">
        <v>909</v>
      </c>
      <c r="C16" s="52" t="str">
        <f t="shared" si="0"/>
        <v>&lt;g   id="Southern" transform="translate(300 930)"&gt;</v>
      </c>
      <c r="D16" t="s">
        <v>917</v>
      </c>
      <c r="E16" t="s">
        <v>940</v>
      </c>
      <c r="F16" t="s">
        <v>9</v>
      </c>
      <c r="G16">
        <v>12</v>
      </c>
      <c r="I16" t="s">
        <v>515</v>
      </c>
      <c r="J16" t="str">
        <f t="shared" si="2"/>
        <v>Southern</v>
      </c>
      <c r="K16" t="s">
        <v>926</v>
      </c>
      <c r="L16" t="str">
        <f t="shared" si="3"/>
        <v>Southern</v>
      </c>
      <c r="M16" t="s">
        <v>925</v>
      </c>
      <c r="N16" t="s">
        <v>920</v>
      </c>
      <c r="O16" s="6" t="s">
        <v>959</v>
      </c>
      <c r="P16" s="6">
        <f t="shared" si="4"/>
        <v>12</v>
      </c>
      <c r="Q16" s="6" t="s">
        <v>960</v>
      </c>
      <c r="R16" t="s">
        <v>921</v>
      </c>
      <c r="S16" s="6" t="s">
        <v>959</v>
      </c>
      <c r="T16" s="6">
        <f t="shared" si="5"/>
        <v>12</v>
      </c>
      <c r="U16" s="6" t="s">
        <v>961</v>
      </c>
      <c r="V16" t="s">
        <v>922</v>
      </c>
      <c r="W16" s="6" t="s">
        <v>959</v>
      </c>
      <c r="X16" s="6">
        <f t="shared" si="6"/>
        <v>12</v>
      </c>
      <c r="Y16" s="6" t="s">
        <v>962</v>
      </c>
      <c r="Z16" t="s">
        <v>919</v>
      </c>
      <c r="AA16" s="6" t="s">
        <v>959</v>
      </c>
      <c r="AB16" s="6">
        <f t="shared" si="7"/>
        <v>12</v>
      </c>
      <c r="AC16" s="6" t="s">
        <v>963</v>
      </c>
      <c r="AD16" t="s">
        <v>923</v>
      </c>
      <c r="AE16" s="6" t="s">
        <v>959</v>
      </c>
      <c r="AF16" s="6">
        <f t="shared" si="8"/>
        <v>12</v>
      </c>
      <c r="AG16" s="6" t="s">
        <v>964</v>
      </c>
      <c r="AH16" t="s">
        <v>924</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5" t="s">
        <v>910</v>
      </c>
      <c r="C17" s="52" t="str">
        <f t="shared" si="0"/>
        <v>&lt;g   id="Tairāwhiti" transform="translate(650 360)"&gt;</v>
      </c>
      <c r="D17" t="s">
        <v>917</v>
      </c>
      <c r="E17" t="s">
        <v>941</v>
      </c>
      <c r="F17" t="s">
        <v>206</v>
      </c>
      <c r="G17">
        <v>13</v>
      </c>
      <c r="I17" t="s">
        <v>515</v>
      </c>
      <c r="J17" t="str">
        <f t="shared" si="2"/>
        <v>Tairāwhiti</v>
      </c>
      <c r="K17" t="s">
        <v>926</v>
      </c>
      <c r="L17" t="str">
        <f t="shared" si="3"/>
        <v>Tairāwhiti</v>
      </c>
      <c r="M17" t="s">
        <v>925</v>
      </c>
      <c r="N17" t="s">
        <v>920</v>
      </c>
      <c r="O17" s="6" t="s">
        <v>959</v>
      </c>
      <c r="P17" s="6">
        <f t="shared" si="4"/>
        <v>13</v>
      </c>
      <c r="Q17" s="6" t="s">
        <v>960</v>
      </c>
      <c r="R17" t="s">
        <v>921</v>
      </c>
      <c r="S17" s="6" t="s">
        <v>959</v>
      </c>
      <c r="T17" s="6">
        <f t="shared" si="5"/>
        <v>13</v>
      </c>
      <c r="U17" s="6" t="s">
        <v>961</v>
      </c>
      <c r="V17" t="s">
        <v>922</v>
      </c>
      <c r="W17" s="6" t="s">
        <v>959</v>
      </c>
      <c r="X17" s="6">
        <f t="shared" si="6"/>
        <v>13</v>
      </c>
      <c r="Y17" s="6" t="s">
        <v>962</v>
      </c>
      <c r="Z17" t="s">
        <v>919</v>
      </c>
      <c r="AA17" s="6" t="s">
        <v>959</v>
      </c>
      <c r="AB17" s="6">
        <f t="shared" si="7"/>
        <v>13</v>
      </c>
      <c r="AC17" s="6" t="s">
        <v>963</v>
      </c>
      <c r="AD17" t="s">
        <v>923</v>
      </c>
      <c r="AE17" s="6" t="s">
        <v>959</v>
      </c>
      <c r="AF17" s="6">
        <f t="shared" si="8"/>
        <v>13</v>
      </c>
      <c r="AG17" s="6" t="s">
        <v>964</v>
      </c>
      <c r="AH17" t="s">
        <v>924</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5" t="s">
        <v>911</v>
      </c>
      <c r="C18" s="52" t="str">
        <f t="shared" si="0"/>
        <v>&lt;g   id="Taranaki" transform="translate(260 405)"&gt;</v>
      </c>
      <c r="D18" t="s">
        <v>917</v>
      </c>
      <c r="E18" t="s">
        <v>942</v>
      </c>
      <c r="F18" t="s">
        <v>14</v>
      </c>
      <c r="G18">
        <v>14</v>
      </c>
      <c r="I18" t="s">
        <v>515</v>
      </c>
      <c r="J18" t="str">
        <f t="shared" si="2"/>
        <v>Taranaki</v>
      </c>
      <c r="K18" t="s">
        <v>926</v>
      </c>
      <c r="L18" t="str">
        <f t="shared" si="3"/>
        <v>Taranaki</v>
      </c>
      <c r="M18" t="s">
        <v>925</v>
      </c>
      <c r="N18" t="s">
        <v>920</v>
      </c>
      <c r="O18" s="6" t="s">
        <v>959</v>
      </c>
      <c r="P18" s="6">
        <f t="shared" si="4"/>
        <v>14</v>
      </c>
      <c r="Q18" s="6" t="s">
        <v>960</v>
      </c>
      <c r="R18" t="s">
        <v>921</v>
      </c>
      <c r="S18" s="6" t="s">
        <v>959</v>
      </c>
      <c r="T18" s="6">
        <f t="shared" si="5"/>
        <v>14</v>
      </c>
      <c r="U18" s="6" t="s">
        <v>961</v>
      </c>
      <c r="V18" t="s">
        <v>922</v>
      </c>
      <c r="W18" s="6" t="s">
        <v>959</v>
      </c>
      <c r="X18" s="6">
        <f t="shared" si="6"/>
        <v>14</v>
      </c>
      <c r="Y18" s="6" t="s">
        <v>962</v>
      </c>
      <c r="Z18" t="s">
        <v>919</v>
      </c>
      <c r="AA18" s="6" t="s">
        <v>959</v>
      </c>
      <c r="AB18" s="6">
        <f t="shared" si="7"/>
        <v>14</v>
      </c>
      <c r="AC18" s="6" t="s">
        <v>963</v>
      </c>
      <c r="AD18" t="s">
        <v>923</v>
      </c>
      <c r="AE18" s="6" t="s">
        <v>959</v>
      </c>
      <c r="AF18" s="6">
        <f t="shared" si="8"/>
        <v>14</v>
      </c>
      <c r="AG18" s="6" t="s">
        <v>964</v>
      </c>
      <c r="AH18" t="s">
        <v>924</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5" t="s">
        <v>912</v>
      </c>
      <c r="C19" s="52" t="str">
        <f t="shared" si="0"/>
        <v>&lt;g   id="Waikato" transform="translate(300 339.9)"&gt;</v>
      </c>
      <c r="D19" t="s">
        <v>917</v>
      </c>
      <c r="E19" t="s">
        <v>928</v>
      </c>
      <c r="F19" t="s">
        <v>10</v>
      </c>
      <c r="G19">
        <v>15</v>
      </c>
      <c r="I19" t="s">
        <v>515</v>
      </c>
      <c r="J19" t="str">
        <f t="shared" si="2"/>
        <v>Waikato</v>
      </c>
      <c r="K19" t="s">
        <v>926</v>
      </c>
      <c r="L19" t="str">
        <f t="shared" si="3"/>
        <v>Waikato</v>
      </c>
      <c r="M19" t="s">
        <v>925</v>
      </c>
      <c r="N19" t="s">
        <v>920</v>
      </c>
      <c r="O19" s="6" t="s">
        <v>959</v>
      </c>
      <c r="P19" s="6">
        <f t="shared" si="4"/>
        <v>15</v>
      </c>
      <c r="Q19" s="6" t="s">
        <v>960</v>
      </c>
      <c r="R19" t="s">
        <v>921</v>
      </c>
      <c r="S19" s="6" t="s">
        <v>959</v>
      </c>
      <c r="T19" s="6">
        <f t="shared" si="5"/>
        <v>15</v>
      </c>
      <c r="U19" s="6" t="s">
        <v>961</v>
      </c>
      <c r="V19" t="s">
        <v>922</v>
      </c>
      <c r="W19" s="6" t="s">
        <v>959</v>
      </c>
      <c r="X19" s="6">
        <f t="shared" si="6"/>
        <v>15</v>
      </c>
      <c r="Y19" s="6" t="s">
        <v>962</v>
      </c>
      <c r="Z19" t="s">
        <v>919</v>
      </c>
      <c r="AA19" s="6" t="s">
        <v>959</v>
      </c>
      <c r="AB19" s="6">
        <f t="shared" si="7"/>
        <v>15</v>
      </c>
      <c r="AC19" s="6" t="s">
        <v>963</v>
      </c>
      <c r="AD19" t="s">
        <v>923</v>
      </c>
      <c r="AE19" s="6" t="s">
        <v>959</v>
      </c>
      <c r="AF19" s="6">
        <f t="shared" si="8"/>
        <v>15</v>
      </c>
      <c r="AG19" s="6" t="s">
        <v>964</v>
      </c>
      <c r="AH19" t="s">
        <v>924</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5" t="s">
        <v>913</v>
      </c>
      <c r="C20" s="52" t="str">
        <f t="shared" si="0"/>
        <v>&lt;g   id="Wairarapa" transform="translate(550 555)"&gt;</v>
      </c>
      <c r="D20" t="s">
        <v>917</v>
      </c>
      <c r="E20" t="s">
        <v>943</v>
      </c>
      <c r="F20" t="s">
        <v>20</v>
      </c>
      <c r="G20">
        <v>16</v>
      </c>
      <c r="I20" t="s">
        <v>515</v>
      </c>
      <c r="J20" t="str">
        <f t="shared" si="2"/>
        <v>Wairarapa</v>
      </c>
      <c r="K20" t="s">
        <v>926</v>
      </c>
      <c r="L20" t="str">
        <f t="shared" si="3"/>
        <v>Wairarapa</v>
      </c>
      <c r="M20" t="s">
        <v>925</v>
      </c>
      <c r="N20" t="s">
        <v>920</v>
      </c>
      <c r="O20" s="6" t="s">
        <v>959</v>
      </c>
      <c r="P20" s="6">
        <f t="shared" si="4"/>
        <v>16</v>
      </c>
      <c r="Q20" s="6" t="s">
        <v>960</v>
      </c>
      <c r="R20" t="s">
        <v>921</v>
      </c>
      <c r="S20" s="6" t="s">
        <v>959</v>
      </c>
      <c r="T20" s="6">
        <f t="shared" si="5"/>
        <v>16</v>
      </c>
      <c r="U20" s="6" t="s">
        <v>961</v>
      </c>
      <c r="V20" t="s">
        <v>922</v>
      </c>
      <c r="W20" s="6" t="s">
        <v>959</v>
      </c>
      <c r="X20" s="6">
        <f t="shared" si="6"/>
        <v>16</v>
      </c>
      <c r="Y20" s="6" t="s">
        <v>962</v>
      </c>
      <c r="Z20" t="s">
        <v>919</v>
      </c>
      <c r="AA20" s="6" t="s">
        <v>959</v>
      </c>
      <c r="AB20" s="6">
        <f t="shared" si="7"/>
        <v>16</v>
      </c>
      <c r="AC20" s="6" t="s">
        <v>963</v>
      </c>
      <c r="AD20" t="s">
        <v>923</v>
      </c>
      <c r="AE20" s="6" t="s">
        <v>959</v>
      </c>
      <c r="AF20" s="6">
        <f t="shared" si="8"/>
        <v>16</v>
      </c>
      <c r="AG20" s="6" t="s">
        <v>964</v>
      </c>
      <c r="AH20" t="s">
        <v>924</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5" t="s">
        <v>914</v>
      </c>
      <c r="C21" s="52" t="str">
        <f t="shared" si="0"/>
        <v>&lt;g   id="Waitematā" transform="translate(230 230)"&gt;</v>
      </c>
      <c r="D21" t="s">
        <v>917</v>
      </c>
      <c r="E21" t="s">
        <v>944</v>
      </c>
      <c r="F21" t="s">
        <v>11</v>
      </c>
      <c r="G21">
        <v>17</v>
      </c>
      <c r="I21" t="s">
        <v>515</v>
      </c>
      <c r="J21" t="str">
        <f t="shared" si="2"/>
        <v>Waitemata</v>
      </c>
      <c r="K21" t="s">
        <v>926</v>
      </c>
      <c r="L21" t="str">
        <f t="shared" si="3"/>
        <v>Waitemata</v>
      </c>
      <c r="M21" t="s">
        <v>925</v>
      </c>
      <c r="N21" t="s">
        <v>920</v>
      </c>
      <c r="O21" s="6" t="s">
        <v>959</v>
      </c>
      <c r="P21" s="6">
        <f t="shared" si="4"/>
        <v>17</v>
      </c>
      <c r="Q21" s="6" t="s">
        <v>960</v>
      </c>
      <c r="R21" t="s">
        <v>921</v>
      </c>
      <c r="S21" s="6" t="s">
        <v>959</v>
      </c>
      <c r="T21" s="6">
        <f t="shared" si="5"/>
        <v>17</v>
      </c>
      <c r="U21" s="6" t="s">
        <v>961</v>
      </c>
      <c r="V21" t="s">
        <v>922</v>
      </c>
      <c r="W21" s="6" t="s">
        <v>959</v>
      </c>
      <c r="X21" s="6">
        <f t="shared" si="6"/>
        <v>17</v>
      </c>
      <c r="Y21" s="6" t="s">
        <v>962</v>
      </c>
      <c r="Z21" t="s">
        <v>919</v>
      </c>
      <c r="AA21" s="6" t="s">
        <v>959</v>
      </c>
      <c r="AB21" s="6">
        <f t="shared" si="7"/>
        <v>17</v>
      </c>
      <c r="AC21" s="6" t="s">
        <v>963</v>
      </c>
      <c r="AD21" t="s">
        <v>923</v>
      </c>
      <c r="AE21" s="6" t="s">
        <v>959</v>
      </c>
      <c r="AF21" s="6">
        <f t="shared" si="8"/>
        <v>17</v>
      </c>
      <c r="AG21" s="6" t="s">
        <v>964</v>
      </c>
      <c r="AH21" t="s">
        <v>924</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5" t="s">
        <v>915</v>
      </c>
      <c r="C22" s="52" t="str">
        <f t="shared" si="0"/>
        <v>&lt;g   id="West Coast" transform="translate(123 653)"&gt;</v>
      </c>
      <c r="D22" t="s">
        <v>917</v>
      </c>
      <c r="E22" t="s">
        <v>945</v>
      </c>
      <c r="F22" t="s">
        <v>19</v>
      </c>
      <c r="G22">
        <v>18</v>
      </c>
      <c r="I22" t="s">
        <v>515</v>
      </c>
      <c r="J22" t="str">
        <f t="shared" si="2"/>
        <v>West Coast</v>
      </c>
      <c r="K22" t="s">
        <v>926</v>
      </c>
      <c r="L22" t="str">
        <f t="shared" si="3"/>
        <v>West Coast</v>
      </c>
      <c r="M22" t="s">
        <v>925</v>
      </c>
      <c r="N22" t="s">
        <v>920</v>
      </c>
      <c r="O22" s="6" t="s">
        <v>959</v>
      </c>
      <c r="P22" s="6">
        <f t="shared" si="4"/>
        <v>18</v>
      </c>
      <c r="Q22" s="6" t="s">
        <v>960</v>
      </c>
      <c r="R22" t="s">
        <v>921</v>
      </c>
      <c r="S22" s="6" t="s">
        <v>959</v>
      </c>
      <c r="T22" s="6">
        <f t="shared" si="5"/>
        <v>18</v>
      </c>
      <c r="U22" s="6" t="s">
        <v>961</v>
      </c>
      <c r="V22" t="s">
        <v>922</v>
      </c>
      <c r="W22" s="6" t="s">
        <v>959</v>
      </c>
      <c r="X22" s="6">
        <f t="shared" si="6"/>
        <v>18</v>
      </c>
      <c r="Y22" s="6" t="s">
        <v>962</v>
      </c>
      <c r="Z22" t="s">
        <v>919</v>
      </c>
      <c r="AA22" s="6" t="s">
        <v>959</v>
      </c>
      <c r="AB22" s="6">
        <f t="shared" si="7"/>
        <v>18</v>
      </c>
      <c r="AC22" s="6" t="s">
        <v>963</v>
      </c>
      <c r="AD22" t="s">
        <v>923</v>
      </c>
      <c r="AE22" s="6" t="s">
        <v>959</v>
      </c>
      <c r="AF22" s="6">
        <f t="shared" si="8"/>
        <v>18</v>
      </c>
      <c r="AG22" s="6" t="s">
        <v>964</v>
      </c>
      <c r="AH22" t="s">
        <v>924</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5" t="s">
        <v>916</v>
      </c>
      <c r="C23" s="52" t="str">
        <f t="shared" si="0"/>
        <v>&lt;g   id="Whanganui" transform="translate(325 480)"&gt;</v>
      </c>
      <c r="D23" t="s">
        <v>917</v>
      </c>
      <c r="E23" t="s">
        <v>929</v>
      </c>
      <c r="F23" t="s">
        <v>769</v>
      </c>
      <c r="G23">
        <v>19</v>
      </c>
      <c r="I23" t="s">
        <v>515</v>
      </c>
      <c r="J23" t="str">
        <f t="shared" si="2"/>
        <v>​Whanganui</v>
      </c>
      <c r="K23" t="s">
        <v>926</v>
      </c>
      <c r="L23" t="str">
        <f t="shared" si="3"/>
        <v>​Whanganui</v>
      </c>
      <c r="M23" t="s">
        <v>925</v>
      </c>
      <c r="N23" t="s">
        <v>920</v>
      </c>
      <c r="O23" s="6" t="s">
        <v>959</v>
      </c>
      <c r="P23" s="6">
        <f t="shared" si="4"/>
        <v>19</v>
      </c>
      <c r="Q23" s="6" t="s">
        <v>960</v>
      </c>
      <c r="R23" t="s">
        <v>921</v>
      </c>
      <c r="S23" s="6" t="s">
        <v>959</v>
      </c>
      <c r="T23" s="6">
        <f t="shared" si="5"/>
        <v>19</v>
      </c>
      <c r="U23" s="6" t="s">
        <v>961</v>
      </c>
      <c r="V23" t="s">
        <v>922</v>
      </c>
      <c r="W23" s="6" t="s">
        <v>959</v>
      </c>
      <c r="X23" s="6">
        <f t="shared" si="6"/>
        <v>19</v>
      </c>
      <c r="Y23" s="6" t="s">
        <v>962</v>
      </c>
      <c r="Z23" t="s">
        <v>919</v>
      </c>
      <c r="AA23" s="6" t="s">
        <v>959</v>
      </c>
      <c r="AB23" s="6">
        <f t="shared" si="7"/>
        <v>19</v>
      </c>
      <c r="AC23" s="6" t="s">
        <v>963</v>
      </c>
      <c r="AD23" t="s">
        <v>923</v>
      </c>
      <c r="AE23" s="6" t="s">
        <v>959</v>
      </c>
      <c r="AF23" s="6">
        <f t="shared" si="8"/>
        <v>19</v>
      </c>
      <c r="AG23" s="6" t="s">
        <v>964</v>
      </c>
      <c r="AH23" t="s">
        <v>924</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C28" t="e">
        <f>D</f>
        <v>#NAME?</v>
      </c>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927</v>
      </c>
    </row>
    <row r="32" spans="1:34" x14ac:dyDescent="0.3">
      <c r="A32">
        <f>16*0.4</f>
        <v>6.4</v>
      </c>
      <c r="H32" t="s">
        <v>930</v>
      </c>
    </row>
    <row r="33" spans="1:8" x14ac:dyDescent="0.3">
      <c r="H33" t="s">
        <v>931</v>
      </c>
    </row>
    <row r="34" spans="1:8" x14ac:dyDescent="0.3">
      <c r="H34" t="s">
        <v>932</v>
      </c>
    </row>
    <row r="35" spans="1:8" x14ac:dyDescent="0.3">
      <c r="H35" t="s">
        <v>933</v>
      </c>
    </row>
    <row r="36" spans="1:8" x14ac:dyDescent="0.3">
      <c r="H36" t="s">
        <v>934</v>
      </c>
    </row>
    <row r="37" spans="1:8" x14ac:dyDescent="0.3">
      <c r="A37">
        <v>3000</v>
      </c>
      <c r="B37" s="80"/>
      <c r="H37" t="s">
        <v>935</v>
      </c>
    </row>
    <row r="38" spans="1:8" x14ac:dyDescent="0.3">
      <c r="A38">
        <v>53</v>
      </c>
      <c r="B38" s="80">
        <f>A38/A37</f>
        <v>1.7666666666666667E-2</v>
      </c>
      <c r="C38" t="s">
        <v>966</v>
      </c>
      <c r="H38" t="s">
        <v>936</v>
      </c>
    </row>
    <row r="39" spans="1:8" x14ac:dyDescent="0.3">
      <c r="A39">
        <v>225</v>
      </c>
      <c r="B39" s="80">
        <f>A39/A37</f>
        <v>7.4999999999999997E-2</v>
      </c>
      <c r="C39" t="s">
        <v>967</v>
      </c>
      <c r="H39" t="s">
        <v>937</v>
      </c>
    </row>
    <row r="40" spans="1:8" x14ac:dyDescent="0.3">
      <c r="A40">
        <v>7</v>
      </c>
      <c r="B40" s="80">
        <f>A40/A37</f>
        <v>2.3333333333333335E-3</v>
      </c>
      <c r="C40" t="s">
        <v>968</v>
      </c>
      <c r="H40" t="s">
        <v>938</v>
      </c>
    </row>
    <row r="41" spans="1:8" x14ac:dyDescent="0.3">
      <c r="A41">
        <v>60</v>
      </c>
      <c r="B41" s="80">
        <f>A41/A37</f>
        <v>0.02</v>
      </c>
      <c r="H41" t="s">
        <v>939</v>
      </c>
    </row>
    <row r="42" spans="1:8" x14ac:dyDescent="0.3">
      <c r="H42" t="s">
        <v>946</v>
      </c>
    </row>
    <row r="43" spans="1:8" x14ac:dyDescent="0.3">
      <c r="H43" t="s">
        <v>940</v>
      </c>
    </row>
    <row r="44" spans="1:8" x14ac:dyDescent="0.3">
      <c r="A44">
        <f>311+473</f>
        <v>784</v>
      </c>
      <c r="B44">
        <f>$A$44*B38</f>
        <v>13.850666666666667</v>
      </c>
      <c r="H44" t="s">
        <v>941</v>
      </c>
    </row>
    <row r="45" spans="1:8" x14ac:dyDescent="0.3">
      <c r="B45">
        <f>$A$44*B39</f>
        <v>58.8</v>
      </c>
      <c r="H45" t="s">
        <v>942</v>
      </c>
    </row>
    <row r="46" spans="1:8" x14ac:dyDescent="0.3">
      <c r="B46">
        <f>$A$44*B40</f>
        <v>1.8293333333333335</v>
      </c>
      <c r="H46" t="s">
        <v>928</v>
      </c>
    </row>
    <row r="47" spans="1:8" x14ac:dyDescent="0.3">
      <c r="B47">
        <f>$A$44*B41</f>
        <v>15.68</v>
      </c>
      <c r="H47" t="s">
        <v>943</v>
      </c>
    </row>
    <row r="48" spans="1:8" x14ac:dyDescent="0.3">
      <c r="B48">
        <f>A41*B42</f>
        <v>0</v>
      </c>
      <c r="H48" t="s">
        <v>944</v>
      </c>
    </row>
    <row r="49" spans="2:8" x14ac:dyDescent="0.3">
      <c r="B49">
        <f>A42*B43</f>
        <v>0</v>
      </c>
      <c r="H49" t="s">
        <v>945</v>
      </c>
    </row>
    <row r="50" spans="2:8" x14ac:dyDescent="0.3">
      <c r="H50" t="s">
        <v>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464-3670-44A6-906E-235F52AC09B5}">
  <dimension ref="A1"/>
  <sheetViews>
    <sheetView workbookViewId="0">
      <selection activeCell="G10" sqref="G10"/>
    </sheetView>
  </sheetViews>
  <sheetFormatPr defaultRowHeight="15.05" x14ac:dyDescent="0.3"/>
  <cols>
    <col min="15" max="15" width="8.8867187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987</v>
      </c>
      <c r="B1" s="4" t="s">
        <v>1001</v>
      </c>
      <c r="C1" s="4" t="s">
        <v>1002</v>
      </c>
      <c r="D1" s="4" t="s">
        <v>1003</v>
      </c>
      <c r="E1" s="4" t="s">
        <v>1004</v>
      </c>
      <c r="F1" s="4" t="s">
        <v>1005</v>
      </c>
    </row>
    <row r="2" spans="1:6" x14ac:dyDescent="0.3">
      <c r="A2" s="4"/>
      <c r="B2" s="4" t="s">
        <v>816</v>
      </c>
      <c r="C2" s="4" t="s">
        <v>517</v>
      </c>
      <c r="D2" s="4"/>
      <c r="E2" s="4"/>
      <c r="F2" s="4"/>
    </row>
    <row r="3" spans="1:6" x14ac:dyDescent="0.3">
      <c r="A3" s="4" t="s">
        <v>200</v>
      </c>
      <c r="B3" s="4">
        <v>1112</v>
      </c>
      <c r="C3" s="4">
        <v>-1</v>
      </c>
      <c r="D3" s="4"/>
      <c r="E3" s="4"/>
      <c r="F3" s="4"/>
    </row>
    <row r="4" spans="1:6" x14ac:dyDescent="0.3">
      <c r="A4" s="4" t="s">
        <v>201</v>
      </c>
      <c r="B4" s="4">
        <v>339</v>
      </c>
      <c r="C4" s="4">
        <v>1</v>
      </c>
      <c r="D4" s="4"/>
      <c r="E4" s="4"/>
      <c r="F4" s="4"/>
    </row>
    <row r="5" spans="1:6" x14ac:dyDescent="0.3">
      <c r="A5" s="4" t="s">
        <v>202</v>
      </c>
      <c r="B5" s="4">
        <v>1451</v>
      </c>
      <c r="C5" s="4">
        <v>0</v>
      </c>
      <c r="D5" s="4"/>
      <c r="E5" s="4"/>
      <c r="F5" s="4"/>
    </row>
    <row r="6" spans="1:6" x14ac:dyDescent="0.3">
      <c r="A6" s="4" t="s">
        <v>817</v>
      </c>
      <c r="B6" s="4">
        <v>8</v>
      </c>
      <c r="C6" s="4">
        <v>-3</v>
      </c>
      <c r="D6" s="4"/>
      <c r="E6" s="4"/>
      <c r="F6" s="4"/>
    </row>
    <row r="7" spans="1:6" x14ac:dyDescent="0.3">
      <c r="A7" s="4" t="s">
        <v>203</v>
      </c>
      <c r="B7" s="4">
        <v>1065</v>
      </c>
      <c r="C7" s="4">
        <v>29</v>
      </c>
      <c r="D7" s="4"/>
      <c r="E7" s="4"/>
      <c r="F7" s="4"/>
    </row>
    <row r="8" spans="1:6" x14ac:dyDescent="0.3">
      <c r="A8" s="4" t="s">
        <v>204</v>
      </c>
      <c r="B8" s="4">
        <v>16</v>
      </c>
      <c r="C8" s="4">
        <v>2</v>
      </c>
      <c r="D8" s="4"/>
      <c r="E8" s="4"/>
      <c r="F8" s="4"/>
    </row>
    <row r="9" spans="1:6" x14ac:dyDescent="0.3">
      <c r="A9" s="4"/>
      <c r="B9" s="4"/>
      <c r="C9" s="4"/>
      <c r="D9" s="4"/>
      <c r="E9" s="4"/>
      <c r="F9" s="4"/>
    </row>
    <row r="10" spans="1:6" x14ac:dyDescent="0.3">
      <c r="A10" s="4" t="s">
        <v>988</v>
      </c>
      <c r="B10" s="4"/>
      <c r="C10" s="4"/>
      <c r="D10" s="4"/>
      <c r="E10" s="4"/>
      <c r="F10" s="4"/>
    </row>
    <row r="11" spans="1:6" x14ac:dyDescent="0.3">
      <c r="A11" s="4" t="s">
        <v>0</v>
      </c>
      <c r="B11" s="4" t="s">
        <v>818</v>
      </c>
      <c r="C11" s="4" t="s">
        <v>819</v>
      </c>
      <c r="D11" s="4" t="s">
        <v>820</v>
      </c>
      <c r="E11" s="4" t="s">
        <v>207</v>
      </c>
      <c r="F11" s="4" t="s">
        <v>517</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821</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206</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815</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207</v>
      </c>
      <c r="B32" s="4">
        <v>370</v>
      </c>
      <c r="C32" s="4">
        <v>1065</v>
      </c>
      <c r="D32" s="4">
        <v>16</v>
      </c>
      <c r="E32" s="4">
        <v>1451</v>
      </c>
      <c r="F32" s="4">
        <v>0</v>
      </c>
    </row>
    <row r="33" spans="1:6" x14ac:dyDescent="0.3">
      <c r="A33" s="4"/>
      <c r="B33" s="4"/>
      <c r="C33" s="4"/>
      <c r="D33" s="4"/>
      <c r="E33" s="4"/>
      <c r="F33" s="4"/>
    </row>
    <row r="34" spans="1:6" x14ac:dyDescent="0.3">
      <c r="A34" t="s">
        <v>987</v>
      </c>
    </row>
    <row r="35" spans="1:6" x14ac:dyDescent="0.3">
      <c r="A35" t="s">
        <v>0</v>
      </c>
      <c r="B35" t="s">
        <v>205</v>
      </c>
    </row>
    <row r="36" spans="1:6" x14ac:dyDescent="0.3">
      <c r="A36" t="s">
        <v>1</v>
      </c>
      <c r="B36">
        <v>4</v>
      </c>
    </row>
    <row r="37" spans="1:6" x14ac:dyDescent="0.3">
      <c r="A37" t="s">
        <v>2</v>
      </c>
      <c r="B37">
        <v>1</v>
      </c>
    </row>
    <row r="38" spans="1:6" x14ac:dyDescent="0.3">
      <c r="A38" t="s">
        <v>547</v>
      </c>
      <c r="B38">
        <v>1</v>
      </c>
    </row>
    <row r="39" spans="1:6" x14ac:dyDescent="0.3">
      <c r="A39" t="s">
        <v>8</v>
      </c>
      <c r="B39">
        <v>1</v>
      </c>
    </row>
    <row r="40" spans="1:6" x14ac:dyDescent="0.3">
      <c r="A40" t="s">
        <v>815</v>
      </c>
      <c r="B40">
        <v>1</v>
      </c>
    </row>
    <row r="41" spans="1:6" x14ac:dyDescent="0.3">
      <c r="A41" t="s">
        <v>207</v>
      </c>
      <c r="B41">
        <v>8</v>
      </c>
    </row>
    <row r="43" spans="1:6" x14ac:dyDescent="0.3">
      <c r="A43" t="s">
        <v>989</v>
      </c>
    </row>
    <row r="44" spans="1:6" x14ac:dyDescent="0.3">
      <c r="A44" t="s">
        <v>990</v>
      </c>
      <c r="B44" t="s">
        <v>818</v>
      </c>
      <c r="C44" t="s">
        <v>819</v>
      </c>
      <c r="D44" t="s">
        <v>820</v>
      </c>
      <c r="F44" t="s">
        <v>207</v>
      </c>
    </row>
    <row r="45" spans="1:6" x14ac:dyDescent="0.3">
      <c r="A45" t="s">
        <v>991</v>
      </c>
      <c r="B45">
        <v>20</v>
      </c>
      <c r="C45">
        <v>14</v>
      </c>
      <c r="E45">
        <v>34</v>
      </c>
    </row>
    <row r="46" spans="1:6" x14ac:dyDescent="0.3">
      <c r="A46" t="s">
        <v>992</v>
      </c>
      <c r="B46">
        <v>21</v>
      </c>
      <c r="C46">
        <v>93</v>
      </c>
      <c r="E46">
        <v>114</v>
      </c>
    </row>
    <row r="47" spans="1:6" x14ac:dyDescent="0.3">
      <c r="A47" t="s">
        <v>993</v>
      </c>
      <c r="B47">
        <v>48</v>
      </c>
      <c r="C47">
        <v>301</v>
      </c>
      <c r="E47">
        <v>349</v>
      </c>
    </row>
    <row r="48" spans="1:6" x14ac:dyDescent="0.3">
      <c r="A48" t="s">
        <v>994</v>
      </c>
      <c r="B48">
        <v>61</v>
      </c>
      <c r="C48">
        <v>158</v>
      </c>
      <c r="E48">
        <v>219</v>
      </c>
    </row>
    <row r="49" spans="1:5" x14ac:dyDescent="0.3">
      <c r="A49" t="s">
        <v>995</v>
      </c>
      <c r="B49">
        <v>52</v>
      </c>
      <c r="C49">
        <v>159</v>
      </c>
      <c r="E49">
        <v>211</v>
      </c>
    </row>
    <row r="50" spans="1:5" x14ac:dyDescent="0.3">
      <c r="A50" t="s">
        <v>996</v>
      </c>
      <c r="B50">
        <v>71</v>
      </c>
      <c r="C50">
        <v>168</v>
      </c>
      <c r="E50">
        <v>239</v>
      </c>
    </row>
    <row r="51" spans="1:5" x14ac:dyDescent="0.3">
      <c r="A51" t="s">
        <v>997</v>
      </c>
      <c r="B51">
        <v>48</v>
      </c>
      <c r="C51">
        <v>123</v>
      </c>
      <c r="D51">
        <v>1</v>
      </c>
      <c r="E51">
        <v>172</v>
      </c>
    </row>
    <row r="52" spans="1:5" x14ac:dyDescent="0.3">
      <c r="A52" t="s">
        <v>998</v>
      </c>
      <c r="B52">
        <v>49</v>
      </c>
      <c r="C52">
        <v>49</v>
      </c>
      <c r="D52">
        <v>15</v>
      </c>
      <c r="E52">
        <v>113</v>
      </c>
    </row>
    <row r="53" spans="1:5" x14ac:dyDescent="0.3">
      <c r="A53" t="s">
        <v>207</v>
      </c>
      <c r="B53">
        <v>370</v>
      </c>
      <c r="C53">
        <v>1065</v>
      </c>
      <c r="D53">
        <v>16</v>
      </c>
      <c r="E53">
        <v>1451</v>
      </c>
    </row>
    <row r="55" spans="1:5" x14ac:dyDescent="0.3">
      <c r="A55" t="s">
        <v>518</v>
      </c>
      <c r="B55" t="s">
        <v>208</v>
      </c>
    </row>
    <row r="56" spans="1:5" x14ac:dyDescent="0.3">
      <c r="A56" t="s">
        <v>209</v>
      </c>
      <c r="B56">
        <v>0.56000000000000005</v>
      </c>
    </row>
    <row r="57" spans="1:5" x14ac:dyDescent="0.3">
      <c r="A57" t="s">
        <v>682</v>
      </c>
      <c r="B57">
        <v>0.39</v>
      </c>
    </row>
    <row r="58" spans="1:5" x14ac:dyDescent="0.3">
      <c r="A58" t="s">
        <v>210</v>
      </c>
      <c r="B58">
        <v>0.04</v>
      </c>
    </row>
    <row r="59" spans="1:5" x14ac:dyDescent="0.3">
      <c r="A59" t="s">
        <v>211</v>
      </c>
      <c r="B59">
        <v>0.02</v>
      </c>
    </row>
    <row r="61" spans="1:5" x14ac:dyDescent="0.3">
      <c r="A61" t="s">
        <v>981</v>
      </c>
    </row>
    <row r="62" spans="1:5" x14ac:dyDescent="0.3">
      <c r="A62" t="s">
        <v>519</v>
      </c>
      <c r="B62" t="s">
        <v>212</v>
      </c>
      <c r="C62" t="s">
        <v>520</v>
      </c>
    </row>
    <row r="63" spans="1:5" x14ac:dyDescent="0.3">
      <c r="A63" t="s">
        <v>548</v>
      </c>
      <c r="B63">
        <v>6480</v>
      </c>
      <c r="C63">
        <v>43943</v>
      </c>
    </row>
    <row r="64" spans="1:5" x14ac:dyDescent="0.3">
      <c r="A64" t="s">
        <v>213</v>
      </c>
      <c r="B64">
        <v>4445</v>
      </c>
      <c r="C64" t="s">
        <v>999</v>
      </c>
    </row>
    <row r="65" spans="1:3" x14ac:dyDescent="0.3">
      <c r="A65" t="s">
        <v>521</v>
      </c>
      <c r="B65">
        <v>101277</v>
      </c>
      <c r="C65" t="s">
        <v>1000</v>
      </c>
    </row>
    <row r="66" spans="1:3" x14ac:dyDescent="0.3">
      <c r="A66" t="s">
        <v>522</v>
      </c>
      <c r="B66">
        <v>84659</v>
      </c>
      <c r="C66">
        <v>43944</v>
      </c>
    </row>
    <row r="68" spans="1:3" x14ac:dyDescent="0.3">
      <c r="A68" t="s">
        <v>651</v>
      </c>
    </row>
    <row r="69" spans="1:3" x14ac:dyDescent="0.3">
      <c r="A69" t="s">
        <v>520</v>
      </c>
      <c r="B69" t="s">
        <v>683</v>
      </c>
      <c r="C69" t="s">
        <v>684</v>
      </c>
    </row>
    <row r="70" spans="1:3" x14ac:dyDescent="0.3">
      <c r="A70" t="s">
        <v>685</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214</v>
      </c>
      <c r="B117" t="s">
        <v>215</v>
      </c>
    </row>
    <row r="118" spans="1:3" x14ac:dyDescent="0.3">
      <c r="A118" t="s">
        <v>199</v>
      </c>
      <c r="B118" t="s">
        <v>216</v>
      </c>
    </row>
    <row r="119" spans="1:3" x14ac:dyDescent="0.3">
      <c r="A119" t="s">
        <v>217</v>
      </c>
      <c r="B119" t="s">
        <v>218</v>
      </c>
    </row>
    <row r="120" spans="1:3" x14ac:dyDescent="0.3">
      <c r="A120" t="s">
        <v>219</v>
      </c>
      <c r="B120" t="s">
        <v>220</v>
      </c>
    </row>
  </sheetData>
  <phoneticPr fontId="3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9"/>
  <sheetViews>
    <sheetView topLeftCell="A16" workbookViewId="0">
      <selection activeCell="G44" sqref="G44"/>
    </sheetView>
  </sheetViews>
  <sheetFormatPr defaultRowHeight="15.05" x14ac:dyDescent="0.3"/>
  <cols>
    <col min="1" max="1" width="22.109375" customWidth="1"/>
    <col min="2" max="2" width="38.21875" customWidth="1"/>
    <col min="7" max="7" width="72" customWidth="1"/>
  </cols>
  <sheetData>
    <row r="2" spans="1:19" x14ac:dyDescent="0.3">
      <c r="A2" s="86" t="s">
        <v>535</v>
      </c>
      <c r="B2" s="86">
        <v>4000</v>
      </c>
    </row>
    <row r="3" spans="1:19" x14ac:dyDescent="0.3">
      <c r="A3" s="85" t="s">
        <v>1053</v>
      </c>
      <c r="B3" s="85">
        <v>1000</v>
      </c>
      <c r="F3" s="2" t="s">
        <v>1133</v>
      </c>
      <c r="G3" s="2"/>
      <c r="H3" s="2"/>
      <c r="I3" s="2"/>
      <c r="J3" s="2"/>
      <c r="K3" s="2"/>
      <c r="L3" s="2"/>
    </row>
    <row r="4" spans="1:19" ht="28.8" x14ac:dyDescent="0.3">
      <c r="A4" s="85" t="s">
        <v>1056</v>
      </c>
      <c r="B4" s="85">
        <v>910</v>
      </c>
      <c r="F4" s="91">
        <f>0.3/1.5</f>
        <v>0.19999999999999998</v>
      </c>
      <c r="G4" s="93" t="s">
        <v>1134</v>
      </c>
      <c r="H4" s="93">
        <v>1.5</v>
      </c>
      <c r="I4" s="93">
        <f>H4*0.029</f>
        <v>4.3500000000000004E-2</v>
      </c>
      <c r="J4" s="92" t="s">
        <v>1135</v>
      </c>
      <c r="K4" s="92">
        <v>1</v>
      </c>
      <c r="L4" s="92">
        <f>K4*0.029</f>
        <v>2.9000000000000001E-2</v>
      </c>
    </row>
    <row r="5" spans="1:19" x14ac:dyDescent="0.3">
      <c r="A5" s="86" t="s">
        <v>1068</v>
      </c>
      <c r="B5" s="86">
        <v>900</v>
      </c>
      <c r="F5" s="91"/>
      <c r="G5" s="93"/>
      <c r="H5" s="93">
        <f>H4-I4</f>
        <v>1.4564999999999999</v>
      </c>
      <c r="I5" s="93">
        <v>0.3</v>
      </c>
      <c r="J5" s="92"/>
      <c r="K5" s="92">
        <f>K4-L4</f>
        <v>0.97099999999999997</v>
      </c>
      <c r="L5" s="92">
        <v>0.2</v>
      </c>
    </row>
    <row r="6" spans="1:19" x14ac:dyDescent="0.3">
      <c r="A6" s="86" t="s">
        <v>661</v>
      </c>
      <c r="B6" s="86">
        <v>600</v>
      </c>
      <c r="F6" s="91"/>
      <c r="G6" s="93"/>
      <c r="H6" s="93">
        <f>H5-I5</f>
        <v>1.1564999999999999</v>
      </c>
      <c r="I6" s="93">
        <f>H4*0.1</f>
        <v>0.15000000000000002</v>
      </c>
      <c r="J6" s="92"/>
      <c r="K6" s="92">
        <f>K5-L5</f>
        <v>0.77099999999999991</v>
      </c>
      <c r="L6" s="92">
        <f>K4*0.1</f>
        <v>0.1</v>
      </c>
    </row>
    <row r="7" spans="1:19" x14ac:dyDescent="0.3">
      <c r="A7" s="85" t="s">
        <v>1069</v>
      </c>
      <c r="B7" s="85">
        <v>500</v>
      </c>
      <c r="F7" s="91"/>
      <c r="G7" s="93"/>
      <c r="H7" s="93">
        <f>H6-I6</f>
        <v>1.0065</v>
      </c>
      <c r="I7" s="93"/>
      <c r="J7" s="92"/>
      <c r="K7" s="92">
        <f>K6-L6</f>
        <v>0.67099999999999993</v>
      </c>
      <c r="L7" s="92"/>
    </row>
    <row r="8" spans="1:19" x14ac:dyDescent="0.3">
      <c r="A8" s="85" t="s">
        <v>1062</v>
      </c>
      <c r="B8" s="85">
        <v>300</v>
      </c>
      <c r="F8" s="91"/>
      <c r="G8" s="93"/>
      <c r="H8" s="93"/>
      <c r="I8" s="93"/>
      <c r="J8" s="92"/>
      <c r="K8" s="92"/>
      <c r="L8" s="92"/>
    </row>
    <row r="9" spans="1:19" x14ac:dyDescent="0.3">
      <c r="A9" s="85" t="s">
        <v>1057</v>
      </c>
      <c r="B9" s="85">
        <v>290</v>
      </c>
    </row>
    <row r="10" spans="1:19" x14ac:dyDescent="0.3">
      <c r="A10" s="86" t="s">
        <v>828</v>
      </c>
      <c r="B10" s="86">
        <v>200</v>
      </c>
      <c r="Q10" t="s">
        <v>1124</v>
      </c>
      <c r="R10" t="s">
        <v>1125</v>
      </c>
      <c r="S10" t="s">
        <v>1126</v>
      </c>
    </row>
    <row r="11" spans="1:19" x14ac:dyDescent="0.3">
      <c r="A11" s="86" t="s">
        <v>1046</v>
      </c>
      <c r="B11" s="86">
        <v>200</v>
      </c>
      <c r="Q11" t="s">
        <v>1127</v>
      </c>
      <c r="R11" t="s">
        <v>1128</v>
      </c>
      <c r="S11" t="s">
        <v>1129</v>
      </c>
    </row>
    <row r="12" spans="1:19" x14ac:dyDescent="0.3">
      <c r="A12" s="85" t="s">
        <v>1076</v>
      </c>
      <c r="B12" s="85">
        <v>180</v>
      </c>
      <c r="L12" t="s">
        <v>1101</v>
      </c>
      <c r="M12" t="s">
        <v>1102</v>
      </c>
      <c r="N12" t="s">
        <v>1103</v>
      </c>
      <c r="Q12" t="s">
        <v>454</v>
      </c>
      <c r="R12" t="s">
        <v>1130</v>
      </c>
      <c r="S12" t="s">
        <v>453</v>
      </c>
    </row>
    <row r="13" spans="1:19" x14ac:dyDescent="0.3">
      <c r="A13" s="85" t="s">
        <v>1081</v>
      </c>
      <c r="B13" s="85">
        <v>175</v>
      </c>
      <c r="L13">
        <v>666</v>
      </c>
      <c r="M13">
        <v>555</v>
      </c>
      <c r="N13">
        <v>444</v>
      </c>
      <c r="Q13" t="s">
        <v>1105</v>
      </c>
      <c r="R13" t="s">
        <v>1131</v>
      </c>
      <c r="S13" t="s">
        <v>1132</v>
      </c>
    </row>
    <row r="14" spans="1:19" x14ac:dyDescent="0.3">
      <c r="A14" s="86" t="s">
        <v>1058</v>
      </c>
      <c r="B14" s="86">
        <v>160</v>
      </c>
      <c r="L14">
        <v>123</v>
      </c>
      <c r="M14">
        <v>456</v>
      </c>
      <c r="N14">
        <v>789</v>
      </c>
    </row>
    <row r="15" spans="1:19" x14ac:dyDescent="0.3">
      <c r="A15" s="86" t="s">
        <v>1060</v>
      </c>
      <c r="B15" s="86">
        <v>160</v>
      </c>
      <c r="L15" t="s">
        <v>1104</v>
      </c>
      <c r="M15" t="s">
        <v>1105</v>
      </c>
      <c r="N15" t="s">
        <v>1106</v>
      </c>
    </row>
    <row r="16" spans="1:19" x14ac:dyDescent="0.3">
      <c r="A16" s="85" t="s">
        <v>1072</v>
      </c>
      <c r="B16" s="85">
        <v>160</v>
      </c>
      <c r="L16">
        <v>1</v>
      </c>
    </row>
    <row r="17" spans="1:25" x14ac:dyDescent="0.3">
      <c r="A17" s="85" t="s">
        <v>1078</v>
      </c>
      <c r="B17" s="85">
        <v>160</v>
      </c>
      <c r="N17">
        <v>3</v>
      </c>
    </row>
    <row r="18" spans="1:25" x14ac:dyDescent="0.3">
      <c r="A18" s="86" t="s">
        <v>1079</v>
      </c>
      <c r="B18" s="86">
        <v>160</v>
      </c>
      <c r="L18">
        <v>333333</v>
      </c>
      <c r="M18">
        <v>333</v>
      </c>
      <c r="N18">
        <v>3</v>
      </c>
    </row>
    <row r="19" spans="1:25" x14ac:dyDescent="0.3">
      <c r="A19" s="85" t="s">
        <v>1061</v>
      </c>
      <c r="B19" s="85">
        <v>150</v>
      </c>
    </row>
    <row r="20" spans="1:25" x14ac:dyDescent="0.3">
      <c r="A20" s="86" t="s">
        <v>1070</v>
      </c>
      <c r="B20" s="86">
        <v>150</v>
      </c>
    </row>
    <row r="21" spans="1:25" x14ac:dyDescent="0.3">
      <c r="A21" s="85" t="s">
        <v>1064</v>
      </c>
      <c r="B21" s="85">
        <v>145</v>
      </c>
    </row>
    <row r="22" spans="1:25" x14ac:dyDescent="0.3">
      <c r="A22" s="85" t="s">
        <v>1054</v>
      </c>
      <c r="B22" s="85">
        <v>140</v>
      </c>
    </row>
    <row r="23" spans="1:25" x14ac:dyDescent="0.3">
      <c r="A23" s="86" t="s">
        <v>1037</v>
      </c>
      <c r="B23" s="86">
        <v>130</v>
      </c>
      <c r="C23" s="86" t="s">
        <v>1071</v>
      </c>
    </row>
    <row r="24" spans="1:25" x14ac:dyDescent="0.3">
      <c r="A24" s="85" t="s">
        <v>826</v>
      </c>
      <c r="B24" s="85">
        <v>120</v>
      </c>
      <c r="H24">
        <v>1278.29</v>
      </c>
      <c r="I24">
        <f>H24-I25</f>
        <v>426.09666666666669</v>
      </c>
    </row>
    <row r="25" spans="1:25" x14ac:dyDescent="0.3">
      <c r="A25" s="85" t="s">
        <v>1074</v>
      </c>
      <c r="B25" s="85">
        <v>120</v>
      </c>
      <c r="I25">
        <f>H24*2/3</f>
        <v>852.19333333333327</v>
      </c>
      <c r="O25" s="87" t="s">
        <v>1107</v>
      </c>
      <c r="P25" s="87" t="s">
        <v>1108</v>
      </c>
      <c r="Q25" s="87" t="s">
        <v>1109</v>
      </c>
    </row>
    <row r="26" spans="1:25" ht="30.15" x14ac:dyDescent="0.3">
      <c r="A26" s="86" t="s">
        <v>1055</v>
      </c>
      <c r="B26" s="86">
        <v>115</v>
      </c>
      <c r="O26" s="87" t="s">
        <v>1110</v>
      </c>
      <c r="P26" s="87" t="s">
        <v>1111</v>
      </c>
      <c r="Q26" s="87" t="s">
        <v>1112</v>
      </c>
    </row>
    <row r="27" spans="1:25" x14ac:dyDescent="0.3">
      <c r="A27" s="86" t="s">
        <v>1084</v>
      </c>
      <c r="B27" s="86">
        <v>108</v>
      </c>
      <c r="O27" s="87" t="s">
        <v>1113</v>
      </c>
      <c r="P27" s="87" t="s">
        <v>1114</v>
      </c>
      <c r="Q27" s="87" t="s">
        <v>1115</v>
      </c>
    </row>
    <row r="28" spans="1:25" x14ac:dyDescent="0.3">
      <c r="A28" s="86" t="s">
        <v>1082</v>
      </c>
      <c r="B28" s="86">
        <v>100</v>
      </c>
    </row>
    <row r="29" spans="1:25" x14ac:dyDescent="0.3">
      <c r="A29" s="86" t="s">
        <v>1073</v>
      </c>
      <c r="B29" s="86">
        <v>90</v>
      </c>
    </row>
    <row r="30" spans="1:25" x14ac:dyDescent="0.3">
      <c r="A30" s="85" t="s">
        <v>1080</v>
      </c>
      <c r="B30" s="85">
        <v>90</v>
      </c>
    </row>
    <row r="31" spans="1:25" ht="28.8" x14ac:dyDescent="0.3">
      <c r="A31" s="86" t="s">
        <v>1075</v>
      </c>
      <c r="B31" s="86">
        <v>87</v>
      </c>
      <c r="H31">
        <v>11445</v>
      </c>
      <c r="I31">
        <v>3</v>
      </c>
      <c r="J31">
        <f>H31/I31</f>
        <v>3815</v>
      </c>
      <c r="P31" s="87" t="s">
        <v>1122</v>
      </c>
      <c r="Q31" s="87"/>
      <c r="R31" s="89">
        <v>0.15</v>
      </c>
      <c r="S31" s="87">
        <v>1.5</v>
      </c>
      <c r="T31" s="89">
        <v>0.70000000000000007</v>
      </c>
      <c r="U31" s="87">
        <v>8.4499999999999993</v>
      </c>
      <c r="V31" s="87"/>
      <c r="W31" s="87" t="e">
        <v>#NAME?</v>
      </c>
      <c r="X31" s="90">
        <v>43958.015972222223</v>
      </c>
      <c r="Y31" s="87"/>
    </row>
    <row r="32" spans="1:25" x14ac:dyDescent="0.3">
      <c r="A32" s="85" t="s">
        <v>1083</v>
      </c>
      <c r="B32" s="85">
        <v>80</v>
      </c>
      <c r="H32">
        <v>11336</v>
      </c>
      <c r="I32">
        <v>3</v>
      </c>
      <c r="J32">
        <f>H32/I32</f>
        <v>3778.6666666666665</v>
      </c>
      <c r="P32" s="87" t="s">
        <v>1123</v>
      </c>
      <c r="Q32" s="87"/>
      <c r="R32" s="87"/>
      <c r="S32" s="87"/>
      <c r="T32" s="87"/>
      <c r="U32" s="87">
        <v>0</v>
      </c>
      <c r="V32" s="87"/>
      <c r="W32" s="87" t="e">
        <v>#NAME?</v>
      </c>
      <c r="X32" s="90">
        <v>43958.015972222223</v>
      </c>
      <c r="Y32" s="87"/>
    </row>
    <row r="33" spans="1:17" ht="28.8" x14ac:dyDescent="0.3">
      <c r="A33" s="86" t="s">
        <v>1086</v>
      </c>
      <c r="B33" s="86">
        <v>71</v>
      </c>
    </row>
    <row r="34" spans="1:17" x14ac:dyDescent="0.3">
      <c r="A34" s="85" t="s">
        <v>1087</v>
      </c>
      <c r="B34" s="85">
        <v>65</v>
      </c>
    </row>
    <row r="35" spans="1:17" x14ac:dyDescent="0.3">
      <c r="A35" s="85" t="s">
        <v>1067</v>
      </c>
      <c r="B35" s="85">
        <v>60</v>
      </c>
    </row>
    <row r="36" spans="1:17" x14ac:dyDescent="0.3">
      <c r="A36" s="85" t="s">
        <v>1089</v>
      </c>
      <c r="B36" s="85">
        <v>60</v>
      </c>
    </row>
    <row r="37" spans="1:17" ht="28.8" x14ac:dyDescent="0.3">
      <c r="A37" s="86" t="s">
        <v>1086</v>
      </c>
      <c r="B37" s="86">
        <v>45</v>
      </c>
      <c r="O37" s="88" t="s">
        <v>1116</v>
      </c>
      <c r="P37" s="88" t="s">
        <v>1117</v>
      </c>
      <c r="Q37" s="88" t="s">
        <v>1118</v>
      </c>
    </row>
    <row r="38" spans="1:17" ht="30.15" x14ac:dyDescent="0.3">
      <c r="A38" s="86" t="s">
        <v>1063</v>
      </c>
      <c r="B38" s="86">
        <v>40</v>
      </c>
      <c r="O38" s="88" t="s">
        <v>1119</v>
      </c>
      <c r="P38" s="88" t="s">
        <v>1120</v>
      </c>
      <c r="Q38" s="88" t="s">
        <v>1121</v>
      </c>
    </row>
    <row r="39" spans="1:17" x14ac:dyDescent="0.3">
      <c r="A39" s="85" t="s">
        <v>1085</v>
      </c>
      <c r="B39" s="85">
        <v>35</v>
      </c>
    </row>
    <row r="40" spans="1:17" x14ac:dyDescent="0.3">
      <c r="A40" s="85" t="s">
        <v>1059</v>
      </c>
      <c r="B40" s="85">
        <v>34</v>
      </c>
      <c r="O40" s="87" t="s">
        <v>1116</v>
      </c>
      <c r="P40" s="87" t="s">
        <v>1117</v>
      </c>
      <c r="Q40" s="87" t="s">
        <v>1118</v>
      </c>
    </row>
    <row r="41" spans="1:17" ht="30.15" x14ac:dyDescent="0.3">
      <c r="A41" s="85" t="s">
        <v>1066</v>
      </c>
      <c r="B41" s="85">
        <v>30</v>
      </c>
      <c r="O41" s="87" t="s">
        <v>1119</v>
      </c>
      <c r="P41" s="87" t="s">
        <v>1120</v>
      </c>
      <c r="Q41" s="87" t="s">
        <v>1121</v>
      </c>
    </row>
    <row r="42" spans="1:17" ht="28.8" x14ac:dyDescent="0.3">
      <c r="A42" s="86" t="s">
        <v>1077</v>
      </c>
      <c r="B42" s="86">
        <v>20</v>
      </c>
    </row>
    <row r="43" spans="1:17" x14ac:dyDescent="0.3">
      <c r="A43" s="86" t="s">
        <v>1088</v>
      </c>
      <c r="B43" s="86">
        <v>19</v>
      </c>
    </row>
    <row r="44" spans="1:17" x14ac:dyDescent="0.3">
      <c r="A44" s="86" t="s">
        <v>1065</v>
      </c>
      <c r="B44" s="86">
        <v>14</v>
      </c>
    </row>
    <row r="45" spans="1:17" x14ac:dyDescent="0.3">
      <c r="A45" s="86"/>
      <c r="B45" s="86"/>
    </row>
    <row r="47" spans="1:17" x14ac:dyDescent="0.3">
      <c r="B47">
        <f>SUM(B1:B45)</f>
        <v>12173</v>
      </c>
    </row>
    <row r="49" spans="7:7" x14ac:dyDescent="0.3">
      <c r="G49" s="9">
        <v>1597018582647</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Tooltips</vt:lpstr>
      <vt:lpstr>Map Data points (2)</vt:lpstr>
      <vt:lpstr>ImportMoH combined</vt:lpstr>
      <vt:lpstr>ImportPopDBH</vt:lpstr>
      <vt:lpstr>concat1</vt:lpstr>
      <vt:lpstr>concatMap</vt:lpstr>
      <vt:lpstr>concattitle</vt:lpstr>
      <vt:lpstr>Sheet1</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2020-09-22T01:11:46Z</dcterms:modified>
</cp:coreProperties>
</file>