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1B874722-F5F8-4C19-AEF4-057F03DA0137}"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combined'!$A$2:$F$179</definedName>
    <definedName name="District_health_board_Locations" localSheetId="3">ImportPopDBH!$A$3:$E$335</definedName>
    <definedName name="DPTWO">'Map Data points (2)'!$B$199:$B$312</definedName>
    <definedName name="ExternalData_1" localSheetId="7" hidden="1">Sheet3!$A$1:$F$120</definedName>
    <definedName name="FULL" localSheetId="1">'Map Data points (2)'!$B$26:$B$338</definedName>
    <definedName name="FULL">#REF!</definedName>
    <definedName name="HTML" localSheetId="1">'Map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5" l="1"/>
  <c r="J32" i="28" l="1"/>
  <c r="J31" i="28"/>
  <c r="B47" i="28" l="1"/>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<sst xmlns="http://schemas.openxmlformats.org/spreadsheetml/2006/main" count="2876" uniqueCount="1104">
  <si>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</si>
  <si>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</si>
  <si>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</si>
  <si>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</si>
  <si>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</si>
  <si>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</si>
  <si>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</si>
  <si>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</si>
  <si>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</si>
  <si>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</si>
  <si>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</si>
  <si>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</si>
  <si>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</si>
  <si>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</si>
  <si>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</si>
  <si>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</si>
  <si>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</si>
  <si>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</si>
  <si>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</si>
  <si>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</si>
  <si>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</si>
  <si>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</si>
  <si>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</si>
  <si>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</si>
  <si>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</si>
  <si>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</si>
  <si>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</si>
  <si>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</si>
  <si>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</si>
  <si>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</si>
  <si>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</si>
  <si>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</si>
  <si>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</si>
  <si>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</si>
  <si>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</si>
  <si>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</si>
  <si>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</si>
  <si>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</si>
  <si>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</si>
  <si>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</si>
  <si>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</si>
  <si>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</si>
  <si>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</si>
  <si>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</si>
  <si>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</si>
  <si>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</si>
  <si>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</si>
  <si>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</si>
  <si>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</si>
  <si>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</si>
  <si>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</si>
  <si>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</si>
  <si>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</si>
  <si>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</si>
  <si>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</si>
  <si>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</si>
  <si>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</si>
  <si>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</si>
  <si>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</si>
  <si>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</si>
  <si>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</si>
  <si>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</si>
  <si>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</si>
  <si>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</si>
  <si>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</si>
  <si>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</si>
  <si>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</si>
  <si>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</si>
  <si>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</si>
  <si>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</si>
  <si>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</si>
  <si>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</si>
  <si>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</si>
  <si>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</si>
  <si>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</si>
  <si>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</si>
  <si>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</si>
  <si>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</si>
  <si>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</si>
  <si>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</si>
  <si>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</si>
  <si>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</si>
  <si>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</si>
  <si>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</si>
  <si>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</si>
  <si>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</si>
  <si>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</si>
  <si>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</si>
  <si>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</si>
  <si>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</si>
  <si>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</si>
  <si>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</si>
  <si>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</si>
  <si>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</si>
  <si>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</si>
  <si>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</si>
  <si>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</si>
  <si>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</si>
  <si>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</si>
  <si>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</si>
  <si>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</si>
  <si>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</si>
  <si>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</si>
  <si>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</si>
  <si>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</si>
  <si>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</si>
  <si>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</si>
  <si>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</si>
  <si>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</si>
  <si>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</si>
  <si>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</si>
  <si>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</si>
  <si>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</si>
  <si>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</si>
  <si>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</si>
  <si>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</si>
  <si>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</si>
  <si>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</si>
  <si>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</si>
  <si>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</si>
  <si>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</si>
  <si>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</si>
  <si>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</si>
  <si>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</si>
  <si>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</si>
  <si>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</si>
  <si>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</si>
  <si>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</si>
  <si>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</si>
  <si>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</si>
  <si>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</si>
  <si>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</si>
  <si>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</si>
  <si>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</si>
  <si>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</si>
  <si>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</si>
  <si>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</si>
  <si>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</si>
  <si>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</si>
  <si>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</si>
  <si>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</si>
  <si>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</si>
  <si>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</si>
  <si>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</si>
  <si>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</si>
  <si>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</si>
  <si>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</si>
  <si>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</si>
  <si>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</si>
  <si>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</si>
  <si>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</si>
  <si>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</si>
  <si>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</si>
  <si>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</si>
  <si>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</si>
  <si>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</si>
  <si>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</si>
  <si>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</si>
  <si>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</si>
  <si>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</si>
  <si>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</si>
  <si>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</si>
  <si>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</si>
  <si>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</si>
  <si>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</si>
  <si>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</si>
  <si>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</si>
  <si>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</si>
  <si>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</si>
  <si>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</si>
  <si>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</si>
  <si>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</si>
  <si>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</si>
  <si>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</si>
  <si>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</si>
  <si>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</si>
  <si>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</si>
  <si>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</si>
  <si>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</si>
  <si>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</si>
  <si>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</si>
  <si>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</si>
  <si>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</si>
  <si>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</si>
  <si>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</si>
  <si>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</si>
  <si>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</si>
  <si>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</si>
  <si>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</si>
  <si>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</si>
  <si>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</si>
  <si>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</si>
  <si>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</si>
  <si>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</si>
  <si>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</si>
  <si>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</si>
  <si>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</si>
  <si>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</si>
  <si>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</si>
  <si>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</si>
  <si>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</si>
  <si>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</si>
  <si>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</si>
  <si>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</si>
  <si>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</si>
  <si>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</si>
  <si>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</si>
  <si>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</si>
  <si>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</si>
  <si>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</si>
  <si>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</si>
  <si>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</si>
  <si>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</si>
  <si>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</si>
  <si>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</si>
  <si>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</si>
  <si>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</si>
  <si>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</si>
  <si>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</si>
  <si>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</si>
  <si>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</si>
  <si>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</si>
  <si>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</si>
  <si>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</si>
  <si>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</si>
  <si>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</si>
  <si>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</si>
  <si>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</si>
  <si>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</si>
  <si>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</si>
  <si>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</si>
  <si>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</si>
  <si>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</si>
  <si>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</si>
  <si>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</si>
  <si>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</si>
  <si>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</si>
  <si>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</si>
  <si>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</si>
  <si>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</si>
  <si>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</si>
  <si>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</si>
  <si>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</si>
  <si>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</si>
  <si>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</si>
  <si>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</si>
  <si>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</si>
  <si>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</si>
  <si>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</si>
  <si>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</si>
  <si>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</si>
  <si>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</si>
  <si>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</si>
  <si>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</si>
  <si>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</si>
  <si>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</si>
  <si>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</si>
  <si>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</si>
  <si>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</si>
  <si>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</si>
  <si>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</si>
  <si>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</si>
  <si>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</si>
  <si>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</si>
  <si>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</si>
  <si>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</si>
  <si>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</si>
  <si>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</si>
  <si>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</si>
  <si>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</si>
  <si>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</si>
  <si>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</si>
  <si>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</si>
  <si>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</si>
  <si>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</si>
  <si>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</si>
  <si>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</si>
  <si>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</si>
  <si>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</si>
  <si>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</si>
  <si>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</si>
  <si>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</si>
  <si>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</si>
  <si>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</si>
  <si>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</si>
  <si>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</si>
  <si>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</si>
  <si>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</si>
  <si>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</si>
  <si>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</si>
  <si>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</si>
  <si>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</si>
  <si>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</si>
  <si>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</si>
  <si>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</si>
  <si>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</si>
  <si>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</si>
  <si>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</si>
  <si>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</si>
  <si>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</si>
  <si>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</si>
  <si>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</si>
  <si>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</si>
  <si>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</si>
  <si>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</si>
  <si>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</si>
  <si>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</si>
  <si>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</si>
  <si>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</si>
  <si>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</si>
  <si>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</si>
  <si>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</si>
  <si>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</si>
  <si>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</si>
  <si>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</si>
  <si>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</si>
  <si>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</si>
  <si>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</si>
  <si>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</si>
  <si>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</si>
  <si>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</si>
  <si>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</si>
  <si>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</si>
  <si>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</si>
  <si>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</si>
  <si>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</si>
  <si>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</si>
  <si>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</si>
  <si>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</si>
  <si>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</si>
  <si>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</si>
  <si>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</si>
  <si>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</si>
  <si>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</si>
  <si>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</si>
  <si>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</si>
  <si>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</si>
  <si>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</si>
  <si>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</si>
  <si>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</si>
  <si>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</si>
  <si>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</si>
  <si>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</si>
  <si>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</si>
  <si>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</si>
  <si>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</si>
  <si>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</si>
  <si>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</si>
  <si>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</si>
  <si>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</si>
  <si>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</si>
  <si>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</si>
  <si>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</si>
  <si>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</si>
  <si>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</si>
  <si>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</si>
  <si>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</si>
  <si>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</si>
  <si>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</si>
  <si>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</si>
  <si>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</si>
  <si>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</si>
  <si>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</si>
  <si>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</si>
  <si>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</si>
  <si>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</si>
  <si>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</si>
  <si>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</si>
  <si>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</si>
  <si>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</si>
  <si>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</si>
  <si>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</si>
  <si>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</si>
  <si>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</si>
  <si>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</si>
  <si>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</si>
  <si>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</si>
  <si>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</si>
  <si>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</si>
  <si>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</si>
  <si>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</si>
  <si>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</si>
  <si>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</si>
  <si>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</si>
  <si>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</si>
  <si>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</si>
  <si>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</si>
  <si>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</si>
  <si>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</si>
  <si>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</si>
  <si>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</si>
  <si>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</si>
  <si>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</si>
  <si>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</si>
  <si>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</si>
  <si>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</si>
  <si>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</si>
  <si>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</si>
  <si>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</si>
  <si>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</si>
  <si>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</si>
  <si>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</si>
  <si>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</si>
  <si>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</si>
  <si>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</si>
  <si>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</si>
  <si>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</si>
  <si>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</si>
  <si>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</si>
  <si>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</si>
  <si>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</si>
  <si>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</si>
  <si>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</si>
  <si>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</si>
  <si>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</si>
  <si>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</si>
  <si>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</si>
  <si>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</si>
  <si>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</si>
  <si>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</si>
  <si>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</si>
  <si>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</si>
  <si>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</si>
  <si>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</si>
  <si>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</si>
  <si>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</si>
  <si>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</si>
  <si>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</si>
  <si>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</si>
  <si>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</si>
  <si>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</si>
  <si>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</si>
  <si>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</si>
  <si>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</si>
  <si>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</si>
  <si>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</si>
  <si>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</si>
  <si>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</si>
  <si>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</si>
  <si>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</si>
  <si>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</si>
  <si>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</si>
  <si>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</si>
  <si>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</si>
  <si>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</si>
  <si>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</si>
  <si>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</si>
  <si>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</si>
  <si>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</si>
  <si>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</si>
  <si>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</si>
  <si>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</si>
  <si>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</si>
  <si>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</si>
  <si>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</si>
  <si>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</si>
  <si>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</si>
  <si>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</si>
  <si>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</si>
  <si>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</si>
  <si>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</si>
  <si>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</si>
  <si>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</si>
  <si>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</si>
  <si>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</si>
  <si>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</si>
  <si>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</si>
  <si>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</si>
  <si>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</si>
  <si>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</si>
  <si>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</si>
  <si>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</si>
  <si>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</si>
  <si>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</si>
  <si>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</si>
  <si>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</si>
  <si>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</si>
  <si>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</si>
  <si>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</si>
  <si>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</si>
  <si>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</si>
  <si>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</si>
  <si>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</si>
  <si>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</si>
  <si>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</si>
  <si>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</si>
  <si>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</si>
  <si>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</si>
  <si>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</si>
  <si>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</si>
  <si>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</si>
  <si>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</si>
  <si>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</si>
  <si>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</si>
  <si>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</si>
  <si>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</si>
  <si>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</si>
  <si>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</si>
  <si>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</si>
  <si>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</si>
  <si>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</si>
  <si>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</si>
  <si>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</si>
  <si>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</si>
  <si>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</si>
  <si>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</si>
  <si>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</si>
  <si>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</si>
  <si>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</si>
  <si>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</si>
  <si>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</si>
  <si>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</si>
  <si>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</si>
  <si>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</si>
  <si>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</si>
  <si>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</si>
  <si>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</si>
  <si>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</si>
  <si>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</si>
  <si>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</si>
  <si>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</si>
  <si>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</si>
  <si>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</si>
  <si>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</si>
  <si>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</si>
  <si>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</si>
  <si>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</si>
  <si>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</si>
  <si>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</si>
  <si>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</si>
  <si>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</si>
  <si>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</si>
  <si>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</si>
  <si>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</si>
  <si>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</si>
  <si>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</si>
  <si>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</si>
  <si>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</si>
  <si>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</si>
  <si>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</si>
  <si>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</si>
  <si>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</si>
  <si>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</si>
  <si>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</si>
  <si>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</si>
  <si>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</si>
  <si>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</si>
  <si>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</si>
  <si>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</si>
  <si>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</si>
  <si>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</si>
  <si>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</si>
  <si>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</si>
  <si>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</si>
  <si>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</si>
  <si>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</si>
  <si>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</si>
  <si>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</si>
  <si>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</si>
  <si>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</si>
  <si>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</si>
  <si>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</si>
  <si>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</si>
  <si>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</si>
  <si>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</si>
  <si>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</si>
  <si>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</si>
  <si>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</si>
  <si>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</si>
  <si>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</si>
  <si>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</si>
  <si>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</si>
  <si>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</si>
  <si>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</si>
  <si>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</si>
  <si>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</si>
  <si>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</si>
  <si>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</si>
  <si>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</si>
  <si>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</si>
  <si>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</si>
  <si>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</si>
  <si>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</si>
  <si>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</si>
  <si>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</si>
  <si>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</si>
  <si>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</si>
  <si>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</si>
  <si>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</si>
  <si>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</si>
  <si>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</si>
  <si>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</si>
  <si>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</si>
  <si>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</si>
  <si>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</si>
  <si>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</si>
  <si>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</si>
  <si>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</si>
  <si>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</si>
  <si>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</si>
  <si>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</si>
  <si>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</si>
  <si>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</si>
  <si>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</si>
  <si>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</si>
  <si>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</si>
  <si>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</si>
  <si>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</si>
  <si>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</si>
  <si>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</si>
  <si>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</si>
  <si>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</si>
  <si>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</si>
  <si>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</si>
  <si>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</si>
  <si>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</si>
  <si>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</si>
  <si>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</si>
  <si>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</si>
  <si>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</si>
  <si>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</si>
  <si>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</si>
  <si>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</si>
  <si>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</si>
  <si>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</si>
  <si>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</si>
  <si>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</si>
  <si>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</si>
  <si>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</si>
  <si>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</si>
  <si>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</si>
  <si>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</si>
  <si>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</si>
  <si>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</si>
  <si>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</si>
  <si>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</si>
  <si>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</si>
  <si>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</si>
  <si>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</si>
  <si>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</si>
  <si>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</si>
  <si>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</si>
  <si>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</si>
  <si>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</si>
  <si>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</si>
  <si>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</si>
  <si>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</si>
  <si>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</si>
  <si>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</si>
  <si>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</si>
  <si>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</si>
  <si>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</si>
  <si>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</si>
  <si>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</si>
  <si>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</si>
  <si>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</si>
  <si>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</si>
  <si>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</si>
  <si>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</si>
  <si>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</si>
  <si>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</si>
  <si>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</si>
  <si>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</si>
  <si>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</si>
  <si>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</si>
  <si>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</si>
  <si>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</si>
  <si>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</si>
  <si>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</si>
  <si>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</si>
  <si>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</si>
  <si>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</si>
  <si>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</si>
  <si>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</si>
  <si>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</si>
  <si>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</si>
  <si>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</si>
  <si>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</si>
  <si>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</si>
  <si>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</si>
  <si>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</si>
  <si>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</si>
  <si>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</si>
  <si>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</si>
  <si>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</si>
  <si>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</si>
  <si>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</si>
  <si>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</si>
  <si>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</si>
  <si>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</si>
  <si>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</si>
  <si>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</si>
  <si>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</si>
  <si>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</si>
  <si>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</si>
  <si>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</si>
  <si>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</si>
  <si>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</si>
  <si>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</si>
  <si>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</si>
  <si>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</si>
  <si>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</si>
  <si>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</si>
  <si>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</si>
  <si>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</si>
  <si>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</si>
  <si>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</si>
  <si>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</si>
  <si>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</si>
  <si>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</si>
  <si>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</si>
  <si>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</si>
  <si>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</si>
  <si>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</si>
  <si>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</si>
  <si>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</si>
  <si>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</si>
  <si>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</si>
  <si>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</si>
  <si>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</si>
  <si>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</si>
  <si>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</si>
  <si>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</si>
  <si>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</si>
  <si>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</si>
  <si>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</si>
  <si>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</si>
  <si>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</si>
  <si>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</si>
  <si>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</si>
  <si>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</si>
  <si>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</si>
  <si>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</si>
  <si>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</si>
  <si>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</si>
  <si>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</si>
  <si>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</si>
  <si>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</si>
  <si>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</si>
  <si>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</si>
  <si>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</si>
  <si>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</si>
  <si>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</si>
  <si>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</si>
  <si>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</si>
  <si>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</si>
  <si>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</si>
  <si>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</si>
  <si>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</si>
  <si>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</si>
  <si>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</si>
  <si>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</si>
  <si>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</si>
  <si>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</si>
  <si>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</si>
  <si>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</si>
  <si>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</si>
  <si>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</si>
  <si>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</si>
  <si>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</si>
  <si>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</si>
  <si>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</si>
  <si>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</si>
  <si>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</si>
  <si>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</si>
  <si>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</si>
  <si>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</si>
  <si>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</si>
  <si>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</si>
  <si>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</si>
  <si>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</si>
  <si>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</si>
  <si>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</si>
  <si>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</si>
  <si>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</si>
  <si>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</si>
  <si>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</si>
  <si>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</si>
  <si>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</si>
  <si>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</si>
  <si>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</si>
  <si>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</si>
  <si>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</si>
  <si>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</si>
  <si>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</si>
  <si>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</si>
  <si>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</si>
  <si>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</si>
  <si>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</si>
  <si>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</si>
  <si>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</si>
  <si>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</si>
  <si>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</si>
  <si>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</si>
  <si>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</si>
  <si>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</si>
  <si>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</si>
  <si>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</si>
  <si>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</si>
  <si>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</si>
  <si>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</si>
  <si>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</si>
  <si>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</si>
  <si>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</si>
  <si>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</si>
  <si>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</si>
  <si>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</si>
  <si>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</si>
  <si>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</si>
  <si>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</si>
  <si>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</si>
  <si>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</si>
  <si>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</si>
  <si>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</si>
  <si>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</si>
  <si>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</si>
  <si>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</si>
  <si>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</si>
  <si>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</si>
  <si>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</si>
  <si>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</si>
  <si>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</si>
  <si>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</si>
  <si>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</si>
  <si>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</si>
  <si>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</si>
  <si>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</si>
  <si>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</si>
  <si>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</si>
  <si>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</si>
  <si>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</si>
  <si>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</si>
  <si>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</si>
  <si>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</si>
  <si>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</si>
  <si>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</si>
  <si>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</si>
  <si>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</si>
  <si>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</si>
  <si>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</si>
  <si>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</si>
  <si>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</si>
  <si>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</si>
  <si>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</si>
  <si>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</si>
  <si>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</si>
  <si>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</si>
  <si>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</si>
  <si>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</si>
  <si>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</si>
  <si>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</si>
  <si>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</si>
  <si>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</si>
  <si>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</si>
  <si>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</si>
  <si>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</si>
  <si>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</si>
  <si>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</si>
  <si>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</si>
  <si>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</si>
  <si>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</si>
  <si>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</si>
  <si>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</si>
  <si>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</si>
  <si>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</si>
  <si>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</si>
  <si>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</si>
  <si>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</si>
  <si>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</si>
  <si>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</si>
  <si>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</si>
  <si>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</si>
  <si>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</si>
  <si>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</si>
  <si>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</si>
  <si>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</si>
  <si>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</si>
  <si>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</si>
  <si>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</si>
  <si>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</si>
  <si>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</si>
  <si>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</si>
  <si>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</si>
  <si>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</si>
  <si>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</si>
  <si>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</si>
  <si>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</si>
  <si>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</si>
  <si>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</si>
  <si>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</si>
  <si>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</si>
  <si>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</si>
  <si>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</si>
  <si>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</si>
  <si>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</si>
  <si>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</si>
  <si>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</si>
  <si>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</si>
  <si>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</si>
  <si>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</si>
  <si>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</si>
  <si>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</si>
  <si>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</si>
  <si>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</si>
  <si>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</si>
  <si>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</si>
  <si>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</si>
  <si>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</si>
  <si>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</si>
  <si>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</si>
  <si>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</si>
  <si>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</si>
  <si>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</si>
  <si>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</si>
  <si>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</si>
  <si>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</si>
  <si>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</si>
  <si>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</si>
  <si>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</si>
  <si>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</si>
  <si>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</si>
  <si>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</si>
  <si>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</si>
  <si>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</si>
  <si>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</si>
  <si>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</si>
  <si>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</si>
  <si>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</si>
  <si>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</si>
  <si>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</si>
  <si>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</si>
  <si>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</si>
  <si>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</si>
  <si>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</si>
  <si>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</si>
  <si>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</si>
  <si>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</si>
  <si>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</si>
  <si>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</si>
  <si>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</si>
  <si>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</si>
  <si>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</si>
  <si>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</si>
  <si>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</si>
  <si>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</si>
  <si>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</si>
  <si>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</si>
  <si>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</si>
  <si>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</si>
  <si>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</si>
  <si>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</si>
  <si>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</si>
  <si>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</si>
  <si>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</si>
  <si>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</si>
  <si>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</si>
  <si>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</si>
  <si>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</si>
  <si>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</si>
  <si>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</si>
  <si>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</si>
  <si>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</si>
  <si>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</si>
  <si>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</si>
  <si>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</si>
  <si>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</si>
  <si>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</si>
  <si>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</si>
  <si>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</si>
  <si>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</si>
  <si>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</si>
  <si>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</si>
  <si>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</si>
  <si>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</si>
  <si>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</si>
  <si>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</si>
  <si>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</si>
  <si>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</si>
  <si>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</si>
  <si>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</si>
  <si>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</si>
  <si>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</si>
  <si>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</si>
  <si>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</si>
  <si>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</si>
  <si>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</si>
  <si>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</si>
  <si>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</si>
  <si>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</si>
  <si>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</si>
  <si>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</si>
  <si>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</si>
  <si>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</si>
  <si>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</si>
  <si>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</si>
  <si>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</si>
  <si>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</si>
  <si>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</si>
  <si>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</si>
  <si>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</si>
  <si>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</si>
  <si>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</si>
  <si>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</si>
  <si>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</si>
  <si>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</si>
  <si>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</si>
  <si>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</si>
  <si>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</si>
  <si>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</si>
  <si>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</si>
  <si>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</si>
  <si>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</si>
  <si>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</si>
  <si>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</si>
  <si>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</si>
  <si>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</si>
  <si>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</si>
  <si>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</si>
  <si>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</si>
  <si>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</si>
  <si>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</si>
  <si>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</si>
  <si>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</si>
  <si>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</si>
  <si>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</si>
  <si>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</si>
  <si>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</si>
  <si>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</si>
  <si>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</si>
  <si>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</si>
  <si>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</si>
  <si>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</si>
  <si>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</si>
  <si>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</si>
  <si>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</si>
  <si>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</si>
  <si>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</si>
  <si>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</si>
  <si>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</si>
  <si>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</si>
  <si>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</si>
  <si>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</si>
  <si>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</si>
  <si>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</si>
  <si>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</si>
  <si>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</si>
  <si>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</si>
  <si>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</si>
  <si>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</si>
  <si>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active rounded</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</si>
  <si>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</si>
  <si>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</si>
  <si>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</si>
  <si>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</si>
  <si>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</si>
  <si>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</si>
  <si>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</si>
  <si>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</si>
  <si>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</si>
  <si>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</si>
  <si>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</si>
  <si>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</si>
  <si>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</si>
  <si>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</si>
  <si>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</si>
  <si>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</si>
  <si>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</si>
  <si>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</si>
  <si>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</si>
  <si>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</si>
  <si>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</si>
  <si>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</si>
  <si>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</si>
  <si>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</si>
  <si>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</si>
  <si>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</si>
  <si>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</si>
  <si>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</si>
  <si>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</si>
  <si>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</si>
  <si>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</si>
  <si>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</si>
  <si>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</si>
  <si>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</si>
  <si>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</si>
  <si>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</si>
  <si>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</si>
  <si>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</si>
  <si>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</si>
  <si>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</si>
  <si>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</si>
  <si>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</si>
  <si>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</si>
  <si>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</si>
  <si>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</si>
  <si>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</si>
  <si>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</si>
  <si>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As at 9.00 am, 20 June 2020</t>
  </si>
  <si>
    <t>Total cases by DHB, as at 9.00 am, 20 June 2020</t>
  </si>
  <si>
    <t>Source: DHB survey as at 9.00 am, 20 June 2020</t>
  </si>
  <si>
    <t>Total cases by age as at 9.00 am, 20 June 2020</t>
  </si>
  <si>
    <t>Lab testing for COVID-19 as at 9.00 am 20 June</t>
  </si>
  <si>
    <t>13 June to 19 June 2020</t>
  </si>
  <si>
    <t>22 January to 19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</si>
</sst>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Total, new today= Change in last 24 hours ,Active Active ,Recovered Recovered ,Deaths Deceased, &lt;/title&gt;</v>
      </c>
      <c r="C4" t="s">
        <v>515</v>
      </c>
      <c r="D4" t="s">
        <v>516</v>
      </c>
      <c r="E4" t="s">
        <v>489</v>
      </c>
      <c r="F4" t="s">
        <v>487</v>
      </c>
      <c r="G4" s="47">
        <f>VLOOKUP(A4,ImportPopDBH!$A$48:$E$67,5)</f>
        <v>545640</v>
      </c>
      <c r="H4" t="s">
        <v>488</v>
      </c>
      <c r="I4" t="s">
        <v>538</v>
      </c>
      <c r="J4" t="str">
        <f>'ImportMoH combined'!E13</f>
        <v>Total</v>
      </c>
      <c r="K4" t="s">
        <v>488</v>
      </c>
      <c r="L4" t="s">
        <v>537</v>
      </c>
      <c r="M4" t="str">
        <f>'ImportMoH combined'!F13</f>
        <v>Change in last 24 hours</v>
      </c>
      <c r="N4" t="s">
        <v>488</v>
      </c>
      <c r="O4" t="s">
        <v>818</v>
      </c>
      <c r="P4" t="str">
        <f>'ImportMoH combined'!B13</f>
        <v>Active</v>
      </c>
      <c r="Q4" t="s">
        <v>819</v>
      </c>
      <c r="R4" t="str">
        <f>'ImportMoH combined'!C13</f>
        <v>Recovered</v>
      </c>
      <c r="S4" t="s">
        <v>829</v>
      </c>
      <c r="T4" t="str">
        <f>'ImportMoH combined'!D13</f>
        <v>Deceased</v>
      </c>
      <c r="U4" t="s">
        <v>539</v>
      </c>
      <c r="V4" t="str">
        <f>'ImportMoH combined'!G13</f>
        <v>Total cases</v>
      </c>
    </row>
    <row r="5" spans="1:22" x14ac:dyDescent="0.3">
      <c r="A5" s="3" t="s">
        <v>2</v>
      </c>
      <c r="B5" t="str">
        <f t="shared" ref="B5:B23" si="0">CONCATENATE($C$4,A5,$F$4," ",G5," , ",$I$4," ",J5,", ",$L$4," ",M5," ,",$O$4," ",P5," ,",$Q$4," ",R5," ,",$S$4," ",T5,", ",$D$4)</f>
        <v>&lt;title&gt;Bay of Plenty DHB @Pop = 238380 ,   Confirmed  = 178, new today= 0 ,Active 0 ,Recovered 178 ,Deaths 0, &lt;/title&gt;</v>
      </c>
      <c r="G5" s="47">
        <f>VLOOKUP(A5,ImportPopDBH!$A$48:$E$67,5)</f>
        <v>238380</v>
      </c>
      <c r="J5">
        <f>'ImportMoH combined'!E14</f>
        <v>178</v>
      </c>
      <c r="M5">
        <f>'ImportMoH combined'!F14</f>
        <v>0</v>
      </c>
      <c r="P5">
        <f>'ImportMoH combined'!B14</f>
        <v>0</v>
      </c>
      <c r="R5">
        <f>'ImportMoH combined'!C14</f>
        <v>178</v>
      </c>
      <c r="T5">
        <f>'ImportMoH combined'!D14</f>
        <v>0</v>
      </c>
      <c r="V5">
        <f>'ImportMoH combined'!G14</f>
        <v>0</v>
      </c>
    </row>
    <row r="6" spans="1:22" x14ac:dyDescent="0.3">
      <c r="A6" s="3" t="s">
        <v>3</v>
      </c>
      <c r="B6" t="str">
        <f t="shared" si="0"/>
        <v>&lt;title&gt;Canterbury DHB @Pop = 567870 ,   Confirmed  = 47, new today= 0 ,Active 0 ,Recovered 47 ,Deaths 0, &lt;/title&gt;</v>
      </c>
      <c r="G6" s="47">
        <f>VLOOKUP(A6,ImportPopDBH!$A$48:$E$67,5)</f>
        <v>567870</v>
      </c>
      <c r="J6">
        <f>'ImportMoH combined'!E15</f>
        <v>47</v>
      </c>
      <c r="M6">
        <f>'ImportMoH combined'!F15</f>
        <v>0</v>
      </c>
      <c r="P6">
        <f>'ImportMoH combined'!B15</f>
        <v>0</v>
      </c>
      <c r="R6">
        <f>'ImportMoH combined'!C15</f>
        <v>47</v>
      </c>
      <c r="T6">
        <f>'ImportMoH combined'!D15</f>
        <v>0</v>
      </c>
      <c r="V6">
        <f>'ImportMoH combined'!G17</f>
        <v>0</v>
      </c>
    </row>
    <row r="7" spans="1:22" x14ac:dyDescent="0.3">
      <c r="A7" s="3" t="s">
        <v>4</v>
      </c>
      <c r="B7" t="str">
        <f t="shared" si="0"/>
        <v>&lt;title&gt;Capital and Coast DHB @Pop = 318040 ,   Confirmed  = 164, new today= 0 ,Active 0 ,Recovered 152 ,Deaths 12, &lt;/title&gt;</v>
      </c>
      <c r="G7" s="47">
        <f>VLOOKUP(A7,ImportPopDBH!$A$48:$E$67,5)</f>
        <v>318040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5</v>
      </c>
      <c r="B8" t="str">
        <f t="shared" si="0"/>
        <v>&lt;title&gt;Counties Manukau DHB @Pop = 563210 ,   Confirmed  = 95, new today= 0 ,Active 0 ,Recovered 93 ,Deaths 2, &lt;/title&gt;</v>
      </c>
      <c r="G8" s="47">
        <f>VLOOKUP(A8,ImportPopDBH!$A$48:$E$67,5)</f>
        <v>563210</v>
      </c>
      <c r="J8">
        <f>'ImportMoH combined'!E17</f>
        <v>95</v>
      </c>
      <c r="M8">
        <f>'ImportMoH combined'!F17</f>
        <v>0</v>
      </c>
      <c r="P8">
        <f>'ImportMoH combined'!B17</f>
        <v>0</v>
      </c>
      <c r="R8">
        <f>'ImportMoH combined'!C17</f>
        <v>93</v>
      </c>
      <c r="T8">
        <f>'ImportMoH combined'!D17</f>
        <v>2</v>
      </c>
      <c r="V8" t="e">
        <f>'ImportMoH combined'!#REF!</f>
        <v>#REF!</v>
      </c>
    </row>
    <row r="9" spans="1:22" x14ac:dyDescent="0.3">
      <c r="A9" s="3" t="s">
        <v>6</v>
      </c>
      <c r="B9" t="str">
        <f t="shared" si="0"/>
        <v>&lt;title&gt;Hawke's Bay DHB @Pop = 165610 ,   Confirmed  = 134, new today= 2 ,Active 3 ,Recovered 131 ,Deaths 0, &lt;/title&gt;</v>
      </c>
      <c r="G9" s="47">
        <f>VLOOKUP(A9,ImportPopDBH!$A$48:$E$67,5)</f>
        <v>165610</v>
      </c>
      <c r="J9">
        <f>'ImportMoH combined'!E18</f>
        <v>134</v>
      </c>
      <c r="M9">
        <f>'ImportMoH combined'!F18</f>
        <v>2</v>
      </c>
      <c r="P9">
        <f>'ImportMoH combined'!B18</f>
        <v>3</v>
      </c>
      <c r="R9">
        <f>'ImportMoH combined'!C18</f>
        <v>131</v>
      </c>
      <c r="T9">
        <f>'ImportMoH combined'!D18</f>
        <v>0</v>
      </c>
      <c r="V9">
        <f>'ImportMoH combined'!G18</f>
        <v>0</v>
      </c>
    </row>
    <row r="10" spans="1:22" x14ac:dyDescent="0.3">
      <c r="A10" s="3" t="s">
        <v>12</v>
      </c>
      <c r="B10" t="str">
        <f t="shared" si="0"/>
        <v>&lt;title&gt;Hutt Valley DHB @Pop = 149680 ,   Confirmed  = 44, new today= 0 ,Active 0 ,Recovered 44 ,Deaths 0, &lt;/title&gt;</v>
      </c>
      <c r="G10" s="47">
        <f>VLOOKUP(A10,ImportPopDBH!$A$48:$E$67,5)</f>
        <v>149680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16</v>
      </c>
      <c r="B11" t="str">
        <f t="shared" si="0"/>
        <v>&lt;title&gt;Lakes DHB @Pop = 110410 ,   Confirmed  = 22, new today= 0 ,Active 2 ,Recovered 20 ,Deaths 0, &lt;/title&gt;</v>
      </c>
      <c r="G11" s="47">
        <f>VLOOKUP(A11,ImportPopDBH!$A$48:$E$67,5)</f>
        <v>110410</v>
      </c>
      <c r="J11">
        <f>'ImportMoH combined'!E20</f>
        <v>22</v>
      </c>
      <c r="M11">
        <f>'ImportMoH combined'!F20</f>
        <v>0</v>
      </c>
      <c r="P11">
        <f>'ImportMoH combined'!B20</f>
        <v>2</v>
      </c>
      <c r="R11">
        <f>'ImportMoH combined'!C20</f>
        <v>20</v>
      </c>
      <c r="T11">
        <f>'ImportMoH combined'!D20</f>
        <v>0</v>
      </c>
      <c r="V11">
        <f>'ImportMoH combined'!G20</f>
        <v>0</v>
      </c>
    </row>
    <row r="12" spans="1:22" x14ac:dyDescent="0.3">
      <c r="A12" s="3" t="s">
        <v>13</v>
      </c>
      <c r="B12" t="str">
        <f t="shared" si="0"/>
        <v>&lt;title&gt;MidCentral DHB @Pop = 178820 ,   Confirmed  = 16, new today= 0 ,Active 0 ,Recovered 16 ,Deaths 0, &lt;/title&gt;</v>
      </c>
      <c r="G12" s="47">
        <f>VLOOKUP(A12,ImportPopDBH!$A$48:$E$67,5)</f>
        <v>178820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7</v>
      </c>
      <c r="B13" t="str">
        <f t="shared" si="0"/>
        <v>&lt;title&gt;Nelson Marlborough DHB @Pop = 150770 ,   Confirmed  = 32, new today= 0 ,Active 0 ,Recovered 32 ,Deaths 0, &lt;/title&gt;</v>
      </c>
      <c r="G13" s="47">
        <f>VLOOKUP(A13,ImportPopDBH!$A$48:$E$67,5)</f>
        <v>150770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17</v>
      </c>
      <c r="B14" t="str">
        <f t="shared" si="0"/>
        <v>&lt;title&gt;Northland DHB @Pop = 179370 ,   Confirmed  = 49, new today= 0 ,Active 0 ,Recovered 49 ,Deaths 0, &lt;/title&gt;</v>
      </c>
      <c r="G14" s="47">
        <f>VLOOKUP(A14,ImportPopDBH!$A$48:$E$67,5)</f>
        <v>179370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8</v>
      </c>
      <c r="B15" t="str">
        <f t="shared" si="0"/>
        <v>&lt;title&gt;South Canterbury DHB @Pop = 60220 ,   Confirmed  = 28, new today= 0 ,Active 0 ,Recovered 28 ,Deaths 0, &lt;/title&gt;</v>
      </c>
      <c r="G15" s="47">
        <f>VLOOKUP(A15,ImportPopDBH!$A$48:$E$67,5)</f>
        <v>60220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9</v>
      </c>
      <c r="B16" t="str">
        <f t="shared" si="0"/>
        <v>&lt;title&gt;Southern DHB @Pop = 329890 ,   Confirmed  = 17, new today= 0 ,Active 0 ,Recovered 17 ,Deaths 0, &lt;/title&gt;</v>
      </c>
      <c r="G16" s="47">
        <f>VLOOKUP(A16,ImportPopDBH!$A$48:$E$67,5)</f>
        <v>329890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18</v>
      </c>
      <c r="B17" t="str">
        <f t="shared" si="0"/>
        <v>&lt;title&gt;Tairawhiti DHB @Pop = 329890 ,   Confirmed  = 216, new today= 0 ,Active 0 ,Recovered 214 ,Deaths 2, &lt;/title&gt;</v>
      </c>
      <c r="G17" s="47">
        <f>VLOOKUP(A17,ImportPopDBH!$A$48:$E$67,5)</f>
        <v>329890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14</v>
      </c>
      <c r="B18" t="str">
        <f t="shared" si="0"/>
        <v>&lt;title&gt;Taranaki DHB @Pop = 120050 ,   Confirmed  = 4, new today= 0 ,Active 0 ,Recovered 4 ,Deaths 0, &lt;/title&gt;</v>
      </c>
      <c r="G18" s="47">
        <f>VLOOKUP(A18,ImportPopDBH!$A$48:$E$67,5)</f>
        <v>120050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10</v>
      </c>
      <c r="B19" t="str">
        <f t="shared" si="0"/>
        <v>&lt;title&gt;Waikato DHB @Pop = 419890 ,   Confirmed  = 16, new today= 0 ,Active 0 ,Recovered 16 ,Deaths 0, &lt;/title&gt;</v>
      </c>
      <c r="G19" s="47">
        <f>VLOOKUP(A19,ImportPopDBH!$A$48:$E$67,5)</f>
        <v>419890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20</v>
      </c>
      <c r="B20" t="str">
        <f t="shared" si="0"/>
        <v>&lt;title&gt;Wairarapa DHB @Pop = 44905 ,   Confirmed  = 188, new today= 0 ,Active 0 ,Recovered 187 ,Deaths 1, &lt;/title&gt;</v>
      </c>
      <c r="G20" s="47">
        <f>VLOOKUP(A20,ImportPopDBH!$A$48:$E$67,5)</f>
        <v>44905</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11</v>
      </c>
      <c r="B21" t="str">
        <f t="shared" si="0"/>
        <v>&lt;title&gt;Waitemata DHB @Pop = 628970 ,   Confirmed  = 8, new today= 0 ,Active 0 ,Recovered 8 ,Deaths 0, &lt;/title&gt;</v>
      </c>
      <c r="G21" s="47">
        <f>VLOOKUP(A21,ImportPopDBH!$A$48:$E$67,5)</f>
        <v>628970</v>
      </c>
      <c r="J21">
        <f>'ImportMoH combined'!E30</f>
        <v>8</v>
      </c>
      <c r="M21">
        <f>'ImportMoH combined'!F30</f>
        <v>0</v>
      </c>
      <c r="P21">
        <f>'ImportMoH combined'!B30</f>
        <v>0</v>
      </c>
      <c r="R21">
        <f>'ImportMoH combined'!C30</f>
        <v>8</v>
      </c>
      <c r="T21">
        <f>'ImportMoH combined'!D30</f>
        <v>0</v>
      </c>
      <c r="V21">
        <f>'ImportMoH combined'!G30</f>
        <v>0</v>
      </c>
    </row>
    <row r="22" spans="1:22" x14ac:dyDescent="0.3">
      <c r="A22" s="3" t="s">
        <v>19</v>
      </c>
      <c r="B22" t="str">
        <f t="shared" si="0"/>
        <v>&lt;title&gt;West Coast DHB @Pop = 32410 ,   Confirmed  = 237, new today= 0 ,Active 0 ,Recovered 233 ,Deaths 4, &lt;/title&gt;</v>
      </c>
      <c r="G22" s="47">
        <f>VLOOKUP(A22,ImportPopDBH!$A$48:$E$67,5)</f>
        <v>32410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15</v>
      </c>
      <c r="B23" t="str">
        <f t="shared" si="0"/>
        <v>&lt;title&gt;Whanganui DHB @Pop = 64550 ,   Confirmed  = 5, new today= 0 ,Active 0 ,Recovered 4 ,Deaths 1, &lt;/title&gt;</v>
      </c>
      <c r="G23" s="47">
        <f>VLOOKUP(A23,ImportPopDBH!$A$48:$E$67,5)</f>
        <v>64550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1500</v>
      </c>
      <c r="M25">
        <f>SUM(M4:M24)</f>
        <v>2</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A209" zoomScale="85" zoomScaleNormal="85" workbookViewId="0">
      <selection activeCell="B209"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 t="shared" si="0"/>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1159</v>
      </c>
      <c r="F40" s="54">
        <f>'ImportMoH combined'!C4</f>
        <v>2</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1509</v>
      </c>
      <c r="F42" s="54">
        <f>'ImportMoH combined'!C6</f>
        <v>2</v>
      </c>
      <c r="V42" s="3" t="s">
        <v>1</v>
      </c>
      <c r="W42">
        <v>0.60438082561506901</v>
      </c>
    </row>
    <row r="43" spans="2:28" x14ac:dyDescent="0.3">
      <c r="B43" t="str">
        <f t="shared" si="1"/>
        <v>text {</v>
      </c>
      <c r="C43" s="52" t="s">
        <v>545</v>
      </c>
      <c r="D43" s="54" t="str">
        <f>'ImportMoH combined'!A7</f>
        <v>Number of recovered cases</v>
      </c>
      <c r="E43" s="54">
        <f>'ImportMoH combined'!B7</f>
        <v>1482</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5</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{v:1159},{v:2}],</v>
      </c>
      <c r="C59" t="s">
        <v>563</v>
      </c>
      <c r="D59" t="str">
        <f t="shared" ref="D59:D64" si="4">D40</f>
        <v>Number of confirmed cases in New Zealand</v>
      </c>
      <c r="E59" s="48" t="s">
        <v>571</v>
      </c>
      <c r="F59">
        <f t="shared" ref="F59:F64" si="5">E40</f>
        <v>1159</v>
      </c>
      <c r="G59" t="s">
        <v>569</v>
      </c>
      <c r="H59">
        <f t="shared" ref="H59:H64" si="6">F40</f>
        <v>2</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{v:1509},{v:2}],</v>
      </c>
      <c r="C61" t="s">
        <v>563</v>
      </c>
      <c r="D61" t="str">
        <f t="shared" si="4"/>
        <v>Number of confirmed and probable cases</v>
      </c>
      <c r="E61" s="48" t="s">
        <v>571</v>
      </c>
      <c r="F61">
        <f t="shared" si="5"/>
        <v>1509</v>
      </c>
      <c r="G61" t="s">
        <v>569</v>
      </c>
      <c r="H61">
        <f t="shared" si="6"/>
        <v>2</v>
      </c>
      <c r="I61" t="s">
        <v>570</v>
      </c>
      <c r="J61" t="s">
        <v>566</v>
      </c>
      <c r="AB61" s="12" t="s">
        <v>370</v>
      </c>
    </row>
    <row r="62" spans="1:28" x14ac:dyDescent="0.3">
      <c r="B62" t="str">
        <f t="shared" si="3"/>
        <v>['Number of recovered cases',  {v:1482},{v:0}],</v>
      </c>
      <c r="C62" t="s">
        <v>563</v>
      </c>
      <c r="D62" t="str">
        <f t="shared" si="4"/>
        <v>Number of recovered cases</v>
      </c>
      <c r="E62" s="48" t="s">
        <v>571</v>
      </c>
      <c r="F62">
        <f t="shared" si="5"/>
        <v>1482</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{v:5},{v:2}]</v>
      </c>
      <c r="C64" t="s">
        <v>563</v>
      </c>
      <c r="D64" t="str">
        <f t="shared" si="4"/>
        <v>Number of active cases</v>
      </c>
      <c r="E64" s="48" t="s">
        <v>571</v>
      </c>
      <c r="F64">
        <f t="shared" si="5"/>
        <v>5</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v>
      </c>
      <c r="C131" s="48" t="s">
        <v>672</v>
      </c>
      <c r="D131" s="82">
        <f>'ImportMoH combined'!$B$57</f>
        <v>0.3</v>
      </c>
      <c r="E131" t="s">
        <v>670</v>
      </c>
      <c r="AB131" s="12"/>
    </row>
    <row r="132" spans="2:28" ht="16.399999999999999" thickTop="1" thickBot="1" x14ac:dyDescent="0.35">
      <c r="B132" t="str">
        <f>CONCATENATE(C132,D132,E132)</f>
        <v>'Transmission Type': 'Imported cases'</v>
      </c>
      <c r="C132" s="48" t="s">
        <v>673</v>
      </c>
      <c r="D132" s="78" t="str">
        <f>'ImportMoH combined'!$A$56</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combined'!$B$56</f>
        <v>0.38</v>
      </c>
      <c r="E135" t="s">
        <v>670</v>
      </c>
      <c r="F135">
        <f>45/1100</f>
        <v>4.0909090909090909E-2</v>
      </c>
      <c r="AB135" s="12"/>
    </row>
    <row r="136" spans="2:28" ht="16.399999999999999" thickTop="1" thickBot="1" x14ac:dyDescent="0.35">
      <c r="B136" t="str">
        <f>CONCATENATE(C136,D136,E136)</f>
        <v>'Transmission Type': 'Imported related cases'</v>
      </c>
      <c r="C136" s="48" t="s">
        <v>673</v>
      </c>
      <c r="D136" s="78" t="str">
        <f>'ImportMoH combined'!$A$57</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v>0.25</v>
      </c>
      <c r="E139" t="s">
        <v>670</v>
      </c>
      <c r="AB139" s="12"/>
    </row>
    <row r="140" spans="2:28" ht="16.399999999999999" thickTop="1" thickBot="1" x14ac:dyDescent="0.35">
      <c r="B140" t="str">
        <f>CONCATENATE(C140,D140,E140)</f>
        <v>'Transmission Type': 'Locally acquired cases, epidemiologically linked'</v>
      </c>
      <c r="C140" s="48" t="s">
        <v>673</v>
      </c>
      <c r="D140" s="84" t="s">
        <v>1010</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combined'!$B$59</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combined'!$A$59</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combined'!$B$60</f>
        <v>0</v>
      </c>
      <c r="E147" t="s">
        <v>670</v>
      </c>
      <c r="AB147" s="12"/>
    </row>
    <row r="148" spans="2:28" ht="16.399999999999999" thickTop="1" thickBot="1" x14ac:dyDescent="0.35">
      <c r="B148" t="str">
        <f>CONCATENATE(C148,D148,E148)</f>
        <v>'Transmission Type': 'Source under investigation'</v>
      </c>
      <c r="C148" s="48" t="s">
        <v>673</v>
      </c>
      <c r="D148" s="84" t="str">
        <f>'ImportMoH combined'!$A$60</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44002</v>
      </c>
      <c r="X156" s="3" t="s">
        <v>5</v>
      </c>
      <c r="Y156">
        <v>0.22042151240087501</v>
      </c>
    </row>
    <row r="157" spans="2:28" x14ac:dyDescent="0.3">
      <c r="B157" s="53" t="str">
        <f>C157</f>
        <v>&lt;div id="container"&gt;</v>
      </c>
      <c r="C157" t="s">
        <v>465</v>
      </c>
      <c r="E157" s="1"/>
      <c r="P157" s="6" t="str">
        <f>'ImportMoH combined'!A12</f>
        <v>Total cases by DHB, as at 9.00 am, 20 June 2020</v>
      </c>
      <c r="Q157" s="6">
        <f>'ImportMoH combined'!B12</f>
        <v>0</v>
      </c>
      <c r="R157" s="6"/>
      <c r="S157" s="6"/>
      <c r="X157" s="3"/>
    </row>
    <row r="158" spans="2:28" x14ac:dyDescent="0.3">
      <c r="B158" s="53" t="str">
        <f>C158</f>
        <v>&lt;div id="header"&gt;</v>
      </c>
      <c r="C158" t="s">
        <v>462</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1049</v>
      </c>
      <c r="X158" s="3" t="s">
        <v>12</v>
      </c>
      <c r="Y158">
        <v>0.24631945413022899</v>
      </c>
    </row>
    <row r="159" spans="2:28" x14ac:dyDescent="0.3">
      <c r="B159" t="str">
        <f ca="1">CONCATENATE(D159,TEXT(C159,"dd-mm-yy"),E159)</f>
        <v>&lt;h1 id="bold-red"&gt; Covid -19 in NZ update for 20-06-20&lt;/h1&gt;</v>
      </c>
      <c r="C159" s="51">
        <f ca="1">TODAY()</f>
        <v>44002</v>
      </c>
      <c r="D159" t="s">
        <v>957</v>
      </c>
      <c r="E159" t="s">
        <v>540</v>
      </c>
      <c r="P159" s="6" t="str">
        <f>'ImportMoH combined'!A14</f>
        <v>Auckland</v>
      </c>
      <c r="Q159" s="6">
        <f>IF('ImportMoH combined'!B14=0,0.1,'ImportMoH combined'!B14)</f>
        <v>0.1</v>
      </c>
      <c r="R159" s="6">
        <f>'ImportMoH combined'!C14</f>
        <v>178</v>
      </c>
      <c r="S159" s="6">
        <f>'ImportMoH combined'!D14</f>
        <v>0</v>
      </c>
      <c r="T159" s="6">
        <f>'ImportMoH combined'!E14</f>
        <v>178</v>
      </c>
      <c r="U159" s="6">
        <f>'ImportMoH combined'!F14</f>
        <v>0</v>
      </c>
      <c r="V159" s="6">
        <f>'ImportMoH combined'!G14</f>
        <v>0</v>
      </c>
      <c r="W159" s="6">
        <f>IF(Q159&lt;1,0,Q159)</f>
        <v>0</v>
      </c>
      <c r="X159" s="3" t="s">
        <v>16</v>
      </c>
      <c r="Y159">
        <v>0.24631945413022899</v>
      </c>
    </row>
    <row r="160" spans="2:28" x14ac:dyDescent="0.3">
      <c r="B160" t="str">
        <f>CONCATENATE(C160,D160,E160,F160,G160,H160,I160,J160,K160)</f>
        <v>&lt;h2 id="bold-red"&gt; Infected:     1509 , Active:    5 , Deaths:    22 , Recovered:    1482&lt;/h2&gt;</v>
      </c>
      <c r="C160" s="51" t="s">
        <v>958</v>
      </c>
      <c r="D160">
        <f>E42</f>
        <v>1509</v>
      </c>
      <c r="E160" t="s">
        <v>605</v>
      </c>
      <c r="F160">
        <f>D160-H160-J160</f>
        <v>5</v>
      </c>
      <c r="G160" t="s">
        <v>606</v>
      </c>
      <c r="H160">
        <f>E44</f>
        <v>22</v>
      </c>
      <c r="I160" t="s">
        <v>607</v>
      </c>
      <c r="J160">
        <f>E43</f>
        <v>1482</v>
      </c>
      <c r="K160" t="s">
        <v>604</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603</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13</v>
      </c>
      <c r="Y161">
        <v>0.18355988042570201</v>
      </c>
    </row>
    <row r="162" spans="2:25" x14ac:dyDescent="0.3">
      <c r="B162" t="str">
        <f>C162</f>
        <v>28th Feb 2020 First confirmed Covid case in NZ</v>
      </c>
      <c r="C162" t="s">
        <v>949</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7</v>
      </c>
      <c r="Y162">
        <v>0.40692932275091798</v>
      </c>
    </row>
    <row r="163" spans="2:25" x14ac:dyDescent="0.3">
      <c r="B163" t="str">
        <f ca="1">CONCATENATE(C163,D163,E163,F163)</f>
        <v>Current as per map after &lt;strong&gt;113&lt;/strong&gt; days&lt;br&gt;</v>
      </c>
      <c r="C163" t="s">
        <v>950</v>
      </c>
      <c r="D163" s="50">
        <f ca="1">TODAY()-D162</f>
        <v>113</v>
      </c>
      <c r="E163" t="s">
        <v>951</v>
      </c>
      <c r="F163" t="s">
        <v>488</v>
      </c>
      <c r="P163" s="6" t="str">
        <f>'ImportMoH combined'!A18</f>
        <v>Counties Manukau</v>
      </c>
      <c r="Q163" s="6">
        <f>IF('ImportMoH combined'!B18=0,0.1,'ImportMoH combined'!B18)</f>
        <v>3</v>
      </c>
      <c r="R163" s="6">
        <f>'ImportMoH combined'!C18</f>
        <v>131</v>
      </c>
      <c r="S163" s="6">
        <f>'ImportMoH combined'!D18</f>
        <v>0</v>
      </c>
      <c r="T163" s="6">
        <f>'ImportMoH combined'!E18</f>
        <v>134</v>
      </c>
      <c r="U163" s="6">
        <f>'ImportMoH combined'!F18</f>
        <v>2</v>
      </c>
      <c r="V163" s="6">
        <f>'ImportMoH combined'!G18</f>
        <v>0</v>
      </c>
      <c r="W163" s="6">
        <f t="shared" si="8"/>
        <v>3</v>
      </c>
      <c r="X163" s="3" t="s">
        <v>17</v>
      </c>
      <c r="Y163">
        <v>0.143308897736944</v>
      </c>
    </row>
    <row r="164" spans="2:25" x14ac:dyDescent="0.3">
      <c r="B164" t="str">
        <f ca="1">CONCATENATE(C164,D164,E164,F164,G164)</f>
        <v>Current day of lockdown = &lt;strong&gt;87&lt;/strong&gt;, -59 days to go of 4 week lockdown</v>
      </c>
      <c r="C164" t="s">
        <v>952</v>
      </c>
      <c r="D164" s="50">
        <f ca="1">TODAY() -E154</f>
        <v>87</v>
      </c>
      <c r="E164" t="s">
        <v>953</v>
      </c>
      <c r="F164" s="9">
        <f ca="1">VALUE(E155-TODAY())</f>
        <v>-59</v>
      </c>
      <c r="G164" t="s">
        <v>587</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463</v>
      </c>
      <c r="P165" s="6" t="str">
        <f>'ImportMoH combined'!A20</f>
        <v>Hutt Valley</v>
      </c>
      <c r="Q165" s="6">
        <f>IF('ImportMoH combined'!B20=0,0.1,'ImportMoH combined'!B20)</f>
        <v>2</v>
      </c>
      <c r="R165" s="6">
        <f>'ImportMoH combined'!C20</f>
        <v>20</v>
      </c>
      <c r="S165" s="6">
        <f>'ImportMoH combined'!D20</f>
        <v>0</v>
      </c>
      <c r="T165" s="6">
        <f>'ImportMoH combined'!E20</f>
        <v>22</v>
      </c>
      <c r="U165" s="6">
        <f>'ImportMoH combined'!F20</f>
        <v>0</v>
      </c>
      <c r="V165" s="6">
        <f>'ImportMoH combined'!G20</f>
        <v>0</v>
      </c>
      <c r="W165" s="6">
        <f t="shared" si="8"/>
        <v>2</v>
      </c>
      <c r="X165" s="3" t="s">
        <v>8</v>
      </c>
      <c r="Y165">
        <v>0.361888657038131</v>
      </c>
    </row>
    <row r="166" spans="2:25" x14ac:dyDescent="0.3">
      <c r="B166" t="str">
        <f t="shared" si="9"/>
        <v>&lt;h2&gt;Charts &lt;/h2&gt;</v>
      </c>
      <c r="C166" t="s">
        <v>674</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686</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675</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676</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677</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368</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678</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679</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370</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372</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646</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680</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681</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370</v>
      </c>
      <c r="P179" s="6"/>
      <c r="Q179" s="6"/>
      <c r="R179" s="6"/>
      <c r="S179" s="6"/>
      <c r="V179" s="3"/>
    </row>
    <row r="180" spans="2:25" x14ac:dyDescent="0.3">
      <c r="B180" t="str">
        <f t="shared" si="9"/>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3</v>
      </c>
      <c r="P190" s="6"/>
      <c r="Q190" s="6"/>
      <c r="R190" s="6"/>
      <c r="S190" s="6"/>
    </row>
    <row r="191" spans="2:25" x14ac:dyDescent="0.3">
      <c r="C191" t="s">
        <v>467</v>
      </c>
      <c r="F191">
        <v>4</v>
      </c>
      <c r="P191" s="6"/>
      <c r="Q191" s="6"/>
      <c r="R191" s="6"/>
      <c r="S191" s="6"/>
    </row>
    <row r="192" spans="2:25" x14ac:dyDescent="0.3">
      <c r="C192" t="s">
        <v>473</v>
      </c>
      <c r="F192">
        <f>ROUND(F190/4,0)</f>
        <v>1</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opacity="0.366666666666667" style="mix-blend-mode: overlay"&gt;&lt;title&gt;Auckland DHB @Pop = 545640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(ROUND(MAX($Q$158:$Q$177)*0.25,0)+VLOOKUP(A202,$P$158:$Q$177,2))/MAX($Q$158:$Q$177)</f>
        <v>0.3666666666666667</v>
      </c>
      <c r="E202" t="s">
        <v>267</v>
      </c>
      <c r="F202" t="s">
        <v>264</v>
      </c>
      <c r="G202" t="str">
        <f t="shared" ref="G202:G221" si="10">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opacity="0.366666666666667" style="mix-blend-mode: overlay"&gt;&lt;title&gt;Bay of Plenty DHB @Pop = 238380 ,   Confirmed  = 178, new today= 0 ,Active 0 ,Recovered 178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1" si="11">(ROUND(MAX($Q$158:$Q$177)*0.25,0)+VLOOKUP(A203,$P$158:$Q$177,2))/MAX($Q$158:$Q$177)</f>
        <v>0.3666666666666667</v>
      </c>
      <c r="E203" t="s">
        <v>267</v>
      </c>
      <c r="F203" t="s">
        <v>264</v>
      </c>
      <c r="G203" t="str">
        <f t="shared" si="10"/>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opacity="0.366666666666667" style="mix-blend-mode: overlay"&gt;&lt;title&gt;Canterbury DHB @Pop = 567870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1"/>
        <v>0.3666666666666667</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opacity="0.366666666666667" style="mix-blend-mode: overlay"&gt;&lt;title&gt;Capital and Coast DHB @Pop = 318040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1"/>
        <v>0.3666666666666667</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opacity="1.33333333333333" style="mix-blend-mode: overlay"&gt;&lt;title&gt;Counties Manukau DHB @Pop = 563210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1"/>
        <v>1.3333333333333333</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opacity="0.366666666666667" style="mix-blend-mode: overlay"&gt;&lt;title&gt;Hawke's Bay DHB @Pop = 165610 ,   Confirmed  = 134, new today= 2 ,Active 3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1"/>
        <v>0.3666666666666667</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opacity="1" style="mix-blend-mode: overlay"&gt;&lt;title&gt;Hutt Valley DHB @Pop = 149680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1"/>
        <v>1</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opacity="0.366666666666667" style="mix-blend-mode: overlay"&gt;&lt;title&gt;Lakes DHB @Pop = 110410 ,   Confirmed  = 22, new today= 0 ,Active 2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1"/>
        <v>0.3666666666666667</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opacity="0.366666666666667" style="mix-blend-mode: overlay"&gt;&lt;title&gt;MidCentral DHB @Pop = 178820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1"/>
        <v>0.3666666666666667</v>
      </c>
      <c r="E210" t="s">
        <v>267</v>
      </c>
      <c r="F210" t="s">
        <v>264</v>
      </c>
      <c r="G210" t="str">
        <f t="shared" si="10"/>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opacity="0.366666666666667" style="mix-blend-mode: overlay"&gt;&lt;title&gt;Nelson Marlborough DHB @Pop = 150770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1"/>
        <v>0.3666666666666667</v>
      </c>
      <c r="E211" t="s">
        <v>267</v>
      </c>
      <c r="F211" t="s">
        <v>264</v>
      </c>
      <c r="G211" t="str">
        <f t="shared" si="10"/>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opacity="0.366666666666667" style="mix-blend-mode: overlay"&gt;&lt;title&gt;Northland DHB @Pop = 179370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1"/>
        <v>0.3666666666666667</v>
      </c>
      <c r="E212" t="s">
        <v>267</v>
      </c>
      <c r="F212" t="s">
        <v>264</v>
      </c>
      <c r="G212" t="str">
        <f t="shared" si="10"/>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opacity="0.366666666666667" style="mix-blend-mode: overlay"&gt;&lt;title&gt;South Canterbury DHB @Pop = 60220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1"/>
        <v>0.3666666666666667</v>
      </c>
      <c r="E213" t="s">
        <v>267</v>
      </c>
      <c r="F213" t="s">
        <v>264</v>
      </c>
      <c r="G213" t="str">
        <f t="shared" si="10"/>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opacity="0.366666666666667" style="mix-blend-mode: overlay"&gt;&lt;title&gt;Southern DHB @Pop = 329890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1"/>
        <v>0.3666666666666667</v>
      </c>
      <c r="E214" s="12" t="s">
        <v>267</v>
      </c>
      <c r="F214" s="12" t="s">
        <v>264</v>
      </c>
      <c r="G214" s="12" t="str">
        <f t="shared" si="10"/>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opacity="0.366666666666667" style="mix-blend-mode: overlay"&gt;&lt;title&gt;Tairawhiti DHB @Pop = 329890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1"/>
        <v>0.3666666666666667</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opacity="0.366666666666667" style="mix-blend-mode: overlay"&gt;&lt;title&gt;Taranaki DHB @Pop = 120050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1"/>
        <v>0.3666666666666667</v>
      </c>
      <c r="E216" t="s">
        <v>267</v>
      </c>
      <c r="F216" t="s">
        <v>264</v>
      </c>
      <c r="G216" t="str">
        <f t="shared" si="10"/>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opacity="0.366666666666667" style="mix-blend-mode: overlay"&gt;&lt;title&gt;Waikato DHB @Pop = 419890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1"/>
        <v>0.3666666666666667</v>
      </c>
      <c r="E217" t="s">
        <v>267</v>
      </c>
      <c r="F217" t="s">
        <v>264</v>
      </c>
      <c r="G217" t="str">
        <f t="shared" si="10"/>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opacity="0.366666666666667" style="mix-blend-mode: overlay"&gt;&lt;title&gt;Wairarapa DHB @Pop = 44905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1"/>
        <v>0.3666666666666667</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opacity="0.366666666666667" style="mix-blend-mode: overlay"&gt;&lt;title&gt;Waitemata DHB @Pop = 628970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1"/>
        <v>0.3666666666666667</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opacity="0.366666666666667" style="mix-blend-mode: overlay"&gt;&lt;title&gt;West Coast DHB @Pop = 32410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1"/>
        <v>0.3666666666666667</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opacity="0.366666666666667" style="mix-blend-mode: overlay"&gt;&lt;title&gt;Whanganui DHB @Pop = 64550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1"/>
        <v>0.3666666666666667</v>
      </c>
      <c r="E221" t="s">
        <v>267</v>
      </c>
      <c r="F221" t="s">
        <v>264</v>
      </c>
      <c r="G221" t="str">
        <f t="shared" si="10"/>
        <v>Whanganui</v>
      </c>
      <c r="H221" t="s">
        <v>311</v>
      </c>
      <c r="I221" t="s">
        <v>265</v>
      </c>
      <c r="J221" t="s">
        <v>1048</v>
      </c>
      <c r="AB221" t="s">
        <v>225</v>
      </c>
    </row>
    <row r="222" spans="1:47" x14ac:dyDescent="0.3">
      <c r="A222" s="3"/>
      <c r="B222" t="str">
        <f>C222</f>
        <v>&lt;/g&gt;</v>
      </c>
      <c r="C222" t="s">
        <v>225</v>
      </c>
    </row>
    <row r="223" spans="1:47" s="13" customFormat="1" x14ac:dyDescent="0.3">
      <c r="A223" s="14" t="s">
        <v>350</v>
      </c>
      <c r="E223" s="10" t="s">
        <v>456</v>
      </c>
      <c r="F223" t="s">
        <v>341</v>
      </c>
      <c r="G223">
        <v>0.75</v>
      </c>
    </row>
    <row r="224" spans="1:47" x14ac:dyDescent="0.3">
      <c r="B224" t="str">
        <f>C224</f>
        <v>&lt;g id="Borders"&gt;</v>
      </c>
      <c r="C224" t="s">
        <v>318</v>
      </c>
    </row>
    <row r="225" spans="2:8" x14ac:dyDescent="0.3">
      <c r="B225" t="str">
        <f>CONCATENATE(,C225,$D$225,$E$225,$F$225,$G$225,$H$225)</f>
        <v>&lt;path d="M385.58,243.3s-.35.18-.89-.36-.74-.26-.63-1.1a8.62,8.62,0,0,0,.15-1.88,5.74,5.74,0,0,1,.09-2,6,6,0,0,0,.43-1.61,8.38,8.38,0,0,1,.26-1.91,3.17,3.17,0,0,1,1.24-2.18"  fill="none" stroke="#191970" stroke-width="0.75"&gt;&lt;/path&gt;</v>
      </c>
      <c r="C225" t="s">
        <v>344</v>
      </c>
      <c r="D225" t="s">
        <v>349</v>
      </c>
      <c r="E225" t="s">
        <v>456</v>
      </c>
      <c r="F225" t="s">
        <v>356</v>
      </c>
      <c r="G225">
        <v>0.75</v>
      </c>
      <c r="H225" t="s">
        <v>342</v>
      </c>
    </row>
    <row r="226" spans="2:8" x14ac:dyDescent="0.3">
      <c r="B226" t="str">
        <f t="shared" ref="B226:B243" si="12">CONCATENATE(,C226,$D$225,$E$225,$F$225,$G$225,$H$225)</f>
        <v>&lt;path d="M397.13,235.31l-.47,1.82a4.33,4.33,0,0,1-.68,1.93,3.56,3.56,0,0,1-1.09,1.16c-.64.43-2.28,1.66-2.28,1.66" fill="none" stroke="#191970" stroke-width="0.75"&gt;&lt;/path&gt;</v>
      </c>
      <c r="C226" t="s">
        <v>343</v>
      </c>
    </row>
    <row r="227" spans="2:8" x14ac:dyDescent="0.3">
      <c r="B227" t="str">
        <f t="shared" si="12"/>
        <v>&lt;path d="M373.42,200.72a14.68,14.68,0,0,0,3.44-2.1,18.32,18.32,0,0,1,2.82-2.3c1.54-1,1.45-.41,2.81-2s4.3-5.21,4.3-5.21"  fill="none" stroke="#191970" stroke-width="0.75"&gt;&lt;/path&gt;</v>
      </c>
      <c r="C227" t="s">
        <v>345</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320</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321</v>
      </c>
    </row>
    <row r="230" spans="2:8" x14ac:dyDescent="0.3">
      <c r="B230" t="str">
        <f t="shared" si="12"/>
        <v>&lt;path d="M524,365.64l-.3,2.07s1.82,4.9,3.64,5.18,1.86,2.05,3.64.28-.14-.84,3.5-1.26,5.12-1.81,5.95-.05a24,24,0,0,1,1.45,3.83c.67,2-.36,3,1.45,4s1.59,2.91,2.25,4.73l2,5.48" fill="none" stroke="#191970" stroke-width="0.75"&gt;&lt;/path&gt;</v>
      </c>
      <c r="C230" t="s">
        <v>346</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322</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323</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324</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325</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326</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327</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347</v>
      </c>
    </row>
    <row r="239" spans="2:8" x14ac:dyDescent="0.3">
      <c r="B239" t="str">
        <f t="shared" si="12"/>
        <v>&lt;path d="M415.59,542.86a10.51,10.51,0,0,1,3.12-.35,32.62,32.62,0,0,0,4.34-.09c1.54-.11,2.23-3.22,5.22-.37" fill="none" stroke="#191970" stroke-width="0.75"&gt;&lt;/path&gt;</v>
      </c>
      <c r="C239" t="s">
        <v>348</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328</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329</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330</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331</v>
      </c>
    </row>
    <row r="244" spans="1:6" x14ac:dyDescent="0.3">
      <c r="B244" t="str">
        <f>C244</f>
        <v>&lt;/g&gt;</v>
      </c>
      <c r="C244" t="s">
        <v>225</v>
      </c>
    </row>
    <row r="245" spans="1:6" s="13" customFormat="1" x14ac:dyDescent="0.3">
      <c r="A245" s="13" t="s">
        <v>351</v>
      </c>
      <c r="B245" s="13" t="s">
        <v>257</v>
      </c>
      <c r="C245" s="13" t="s">
        <v>257</v>
      </c>
      <c r="E245" t="s">
        <v>341</v>
      </c>
    </row>
    <row r="246" spans="1:6" x14ac:dyDescent="0.3">
      <c r="B246" t="str">
        <f>C246</f>
        <v>&lt;g id="Lakes"&gt;</v>
      </c>
      <c r="C246" t="s">
        <v>319</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332</v>
      </c>
      <c r="D247" t="s">
        <v>265</v>
      </c>
      <c r="E247" t="s">
        <v>341</v>
      </c>
      <c r="F247" t="s">
        <v>342</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333</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334</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335</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336</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337</v>
      </c>
    </row>
    <row r="253" spans="1:6" x14ac:dyDescent="0.3">
      <c r="B253" t="str">
        <f t="shared" si="13"/>
        <v>&lt;path d="M82,821.31a1.23,1.23,0,0,1-1.1-1,10.37,10.37,0,0,0-.61-2.1,8.53,8.53,0,0,0-1.09-2.62c-.32-.41-.77-.65-1-1.35s-.07-.85-.07-.85c1.05.62,1.05.62,1.55,1.43a5.12,5.12,0,0,1,1,1.92,10.11,10.11,0,0,1,.79,2.51C81.56,820.19,82.38,821.41,82,821.31Z" fill="#fff"&gt;&lt;/path&gt;</v>
      </c>
      <c r="C253" t="s">
        <v>338</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339</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340</v>
      </c>
    </row>
    <row r="256" spans="1:6" x14ac:dyDescent="0.3">
      <c r="B256" t="str">
        <f>C256</f>
        <v>&lt;/g&gt;</v>
      </c>
      <c r="C256" t="s">
        <v>225</v>
      </c>
    </row>
    <row r="257" spans="1:33" x14ac:dyDescent="0.3">
      <c r="B257" t="s">
        <v>257</v>
      </c>
    </row>
    <row r="259" spans="1:33" x14ac:dyDescent="0.3">
      <c r="D259" t="s">
        <v>512</v>
      </c>
      <c r="J259" t="s">
        <v>233</v>
      </c>
    </row>
    <row r="260" spans="1:33" s="13" customFormat="1" x14ac:dyDescent="0.3">
      <c r="A260" s="13" t="s">
        <v>353</v>
      </c>
      <c r="V260" t="s">
        <v>451</v>
      </c>
      <c r="W260" t="s">
        <v>455</v>
      </c>
      <c r="X260"/>
      <c r="Y260" t="s">
        <v>452</v>
      </c>
      <c r="Z260" t="s">
        <v>455</v>
      </c>
      <c r="AC260" t="s">
        <v>451</v>
      </c>
      <c r="AD260" t="s">
        <v>455</v>
      </c>
      <c r="AE260"/>
      <c r="AF260" t="s">
        <v>452</v>
      </c>
      <c r="AG260" t="s">
        <v>455</v>
      </c>
    </row>
    <row r="261" spans="1:33" x14ac:dyDescent="0.3">
      <c r="B261" t="str">
        <f>C261</f>
        <v>&lt;g id="LABELS"&gt;</v>
      </c>
      <c r="C261" t="s">
        <v>224</v>
      </c>
      <c r="J261" t="s">
        <v>513</v>
      </c>
      <c r="V261" t="s">
        <v>453</v>
      </c>
      <c r="W261" t="s">
        <v>454</v>
      </c>
      <c r="Y261" t="s">
        <v>453</v>
      </c>
      <c r="Z261" t="s">
        <v>454</v>
      </c>
      <c r="AC261" t="s">
        <v>453</v>
      </c>
      <c r="AD261" t="s">
        <v>454</v>
      </c>
      <c r="AF261" t="s">
        <v>453</v>
      </c>
      <c r="AG261" t="s">
        <v>454</v>
      </c>
    </row>
    <row r="263" spans="1:33" x14ac:dyDescent="0.3">
      <c r="A263" t="s">
        <v>1</v>
      </c>
      <c r="B263" t="str">
        <f>CONCATENATE($C$263,A263,$D$263,E263," ",F263,$G$263,$H$263,A263,$J$263)</f>
        <v>&lt;g id="Auckland" transform="translate(470 150)"&gt;    &lt;text text-anchor="middle" y="30" class=""&gt;Auckland&lt;/text&gt;&lt;/g&gt;</v>
      </c>
      <c r="C263" t="s">
        <v>228</v>
      </c>
      <c r="D263" t="s">
        <v>229</v>
      </c>
      <c r="E263" s="4">
        <f>V263</f>
        <v>470</v>
      </c>
      <c r="F263" s="4">
        <f>W263</f>
        <v>150</v>
      </c>
      <c r="G263" t="s">
        <v>231</v>
      </c>
      <c r="H263" t="s">
        <v>232</v>
      </c>
      <c r="I263" t="s">
        <v>1</v>
      </c>
      <c r="J263" t="s">
        <v>233</v>
      </c>
      <c r="K263" t="str">
        <f>Tooltips!B4</f>
        <v>&lt;title&gt;Auckland DHB @Pop = 545640 ,   Confirmed  = Total, new today= Change in last 24 hours ,Active Active ,Recovered Recovered ,Deaths Deceased, &lt;/title&gt;</v>
      </c>
      <c r="L263" t="s">
        <v>230</v>
      </c>
      <c r="P263" s="15" t="str">
        <f>LEFT(L263,(FIND(" ",L263,1)-1))</f>
        <v>323</v>
      </c>
      <c r="Q263" t="str">
        <f>MID(L263,FIND(" ",L263,1)+1,256)</f>
        <v>276.79</v>
      </c>
      <c r="V263" s="30">
        <v>470</v>
      </c>
      <c r="W263" s="30">
        <v>150</v>
      </c>
      <c r="X263" s="41" t="s">
        <v>1</v>
      </c>
      <c r="Y263" s="31">
        <v>535</v>
      </c>
      <c r="Z263" s="31">
        <v>180</v>
      </c>
      <c r="AC263" s="30">
        <v>450</v>
      </c>
      <c r="AD263" s="30">
        <v>150</v>
      </c>
      <c r="AE263" s="32" t="s">
        <v>1</v>
      </c>
      <c r="AF263" s="31">
        <v>510</v>
      </c>
      <c r="AG263" s="31">
        <v>180</v>
      </c>
    </row>
    <row r="264" spans="1:33" x14ac:dyDescent="0.3">
      <c r="A264" t="s">
        <v>2</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238380 ,   Confirmed  = 178, new today= 0 ,Active 0 ,Recovered 178 ,Deaths 0, &lt;/title&gt;</v>
      </c>
      <c r="L264" t="s">
        <v>234</v>
      </c>
      <c r="P264" s="15" t="str">
        <f t="shared" ref="P264:P282" si="17">LEFT(L264,(FIND(" ",L264,1)-1))</f>
        <v>555.83</v>
      </c>
      <c r="Q264" t="str">
        <f>MID(L264,FIND(" ",L264,1)+1,256)</f>
        <v>261.02</v>
      </c>
      <c r="V264" s="30">
        <v>545</v>
      </c>
      <c r="W264" s="30">
        <v>230</v>
      </c>
      <c r="X264" s="41" t="s">
        <v>2</v>
      </c>
      <c r="Y264" s="31">
        <v>610</v>
      </c>
      <c r="Z264" s="30">
        <v>260</v>
      </c>
      <c r="AC264" s="30">
        <v>545</v>
      </c>
      <c r="AD264" s="30">
        <v>261.02</v>
      </c>
      <c r="AE264" s="32" t="s">
        <v>2</v>
      </c>
      <c r="AF264" s="31">
        <v>610</v>
      </c>
      <c r="AG264" s="30">
        <v>290</v>
      </c>
    </row>
    <row r="265" spans="1:33" x14ac:dyDescent="0.3">
      <c r="A265" t="s">
        <v>3</v>
      </c>
      <c r="B265" t="str">
        <f t="shared" si="14"/>
        <v>&lt;g id="Canterbury" transform="translate(349.06 680.71)"&gt;    &lt;text text-anchor="middle" y="30" class=""&gt;Canterbury&lt;/text&gt;&lt;/g&gt;</v>
      </c>
      <c r="E265" s="4">
        <f t="shared" si="15"/>
        <v>349.06</v>
      </c>
      <c r="F265" s="4">
        <f t="shared" si="16"/>
        <v>680.71</v>
      </c>
      <c r="K265" t="str">
        <f>Tooltips!B6</f>
        <v>&lt;title&gt;Canterbury DHB @Pop = 567870 ,   Confirmed  = 47, new today= 0 ,Active 0 ,Recovered 47 ,Deaths 0, &lt;/title&gt;</v>
      </c>
      <c r="L265" t="s">
        <v>235</v>
      </c>
      <c r="P265" s="15" t="str">
        <f t="shared" si="17"/>
        <v>349.06</v>
      </c>
      <c r="Q265" t="str">
        <f t="shared" ref="Q265:Q282" si="18">MID(L265,FIND(" ",L265,1)+1,256)</f>
        <v>680.71</v>
      </c>
      <c r="V265" s="30">
        <v>349.06</v>
      </c>
      <c r="W265" s="30">
        <v>680.71</v>
      </c>
      <c r="X265" s="41" t="s">
        <v>3</v>
      </c>
      <c r="Y265" s="31">
        <v>410</v>
      </c>
      <c r="Z265" s="31">
        <v>710.71</v>
      </c>
      <c r="AC265" s="30">
        <v>349.06</v>
      </c>
      <c r="AD265" s="30">
        <v>680.71</v>
      </c>
      <c r="AE265" s="32" t="s">
        <v>3</v>
      </c>
      <c r="AF265" s="31">
        <v>410</v>
      </c>
      <c r="AG265" s="31">
        <v>710.71</v>
      </c>
    </row>
    <row r="266" spans="1:33" x14ac:dyDescent="0.3">
      <c r="A266" t="s">
        <v>4</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318040 ,   Confirmed  = 164, new today= 0 ,Active 0 ,Recovered 152 ,Deaths 12, &lt;/title&gt;</v>
      </c>
      <c r="L266" t="s">
        <v>236</v>
      </c>
      <c r="P266" s="15" t="str">
        <f t="shared" si="17"/>
        <v>272.99</v>
      </c>
      <c r="Q266" t="str">
        <f t="shared" si="18"/>
        <v>469.5</v>
      </c>
      <c r="V266" s="30">
        <v>350</v>
      </c>
      <c r="W266" s="30">
        <v>500</v>
      </c>
      <c r="X266" s="41" t="s">
        <v>4</v>
      </c>
      <c r="Y266" s="31">
        <v>270</v>
      </c>
      <c r="Z266" s="30">
        <v>530</v>
      </c>
      <c r="AC266" s="30">
        <v>350</v>
      </c>
      <c r="AD266" s="30">
        <v>500</v>
      </c>
      <c r="AE266" s="32" t="s">
        <v>4</v>
      </c>
      <c r="AF266" s="31">
        <v>270</v>
      </c>
      <c r="AG266" s="30">
        <v>530</v>
      </c>
    </row>
    <row r="267" spans="1:33" x14ac:dyDescent="0.3">
      <c r="A267" t="s">
        <v>5</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563210 ,   Confirmed  = 95, new today= 0 ,Active 0 ,Recovered 93 ,Deaths 2, &lt;/title&gt;</v>
      </c>
      <c r="L267" t="s">
        <v>237</v>
      </c>
      <c r="P267" s="15" t="str">
        <f t="shared" si="17"/>
        <v>480.28</v>
      </c>
      <c r="Q267" t="str">
        <f t="shared" si="18"/>
        <v>219.19</v>
      </c>
      <c r="V267" s="30">
        <v>320</v>
      </c>
      <c r="W267" s="31">
        <v>250</v>
      </c>
      <c r="X267" s="41" t="s">
        <v>5</v>
      </c>
      <c r="Y267" s="31">
        <v>230</v>
      </c>
      <c r="Z267" s="31">
        <v>280</v>
      </c>
      <c r="AC267" s="30">
        <v>320</v>
      </c>
      <c r="AD267" s="31">
        <v>250</v>
      </c>
      <c r="AE267" s="32" t="s">
        <v>5</v>
      </c>
      <c r="AF267" s="31">
        <v>230</v>
      </c>
      <c r="AG267" s="31">
        <v>280</v>
      </c>
    </row>
    <row r="268" spans="1:33" x14ac:dyDescent="0.3">
      <c r="A268" t="s">
        <v>6</v>
      </c>
      <c r="B268" t="str">
        <f t="shared" si="14"/>
        <v>&lt;g id="Hawke's Bay" transform="translate(570 400)"&gt;    &lt;text text-anchor="middle" y="30" class=""&gt;Hawke's Bay&lt;/text&gt;&lt;/g&gt;</v>
      </c>
      <c r="E268" s="4">
        <f t="shared" si="15"/>
        <v>570</v>
      </c>
      <c r="F268" s="4">
        <f t="shared" si="16"/>
        <v>400</v>
      </c>
      <c r="K268" t="str">
        <f>Tooltips!B9</f>
        <v>&lt;title&gt;Hawke's Bay DHB @Pop = 165610 ,   Confirmed  = 134, new today= 2 ,Active 3 ,Recovered 131 ,Deaths 0, &lt;/title&gt;</v>
      </c>
      <c r="L268" t="s">
        <v>238</v>
      </c>
      <c r="P268" s="15" t="str">
        <f t="shared" si="17"/>
        <v>548.78</v>
      </c>
      <c r="Q268" t="str">
        <f t="shared" si="18"/>
        <v>425.51</v>
      </c>
      <c r="V268" s="30">
        <v>570</v>
      </c>
      <c r="W268" s="30">
        <v>400</v>
      </c>
      <c r="X268" s="41" t="s">
        <v>6</v>
      </c>
      <c r="Y268" s="31">
        <v>640</v>
      </c>
      <c r="Z268" s="31">
        <v>430</v>
      </c>
      <c r="AC268" s="30">
        <v>570</v>
      </c>
      <c r="AD268" s="30">
        <v>400</v>
      </c>
      <c r="AE268" s="32" t="s">
        <v>6</v>
      </c>
      <c r="AF268" s="31">
        <v>640</v>
      </c>
      <c r="AG268" s="31">
        <v>430</v>
      </c>
    </row>
    <row r="269" spans="1:33" x14ac:dyDescent="0.3">
      <c r="A269" t="s">
        <v>12</v>
      </c>
      <c r="B269" t="str">
        <f t="shared" si="14"/>
        <v>&lt;g id="Hutt Valley" transform="translate(460 555)"&gt;    &lt;text text-anchor="middle" y="30" class=""&gt;Hutt Valley&lt;/text&gt;&lt;/g&gt;</v>
      </c>
      <c r="E269" s="4">
        <f t="shared" si="15"/>
        <v>460</v>
      </c>
      <c r="F269" s="4">
        <f t="shared" si="16"/>
        <v>555</v>
      </c>
      <c r="K269" t="str">
        <f>Tooltips!B10</f>
        <v>&lt;title&gt;Hutt Valley DHB @Pop = 149680 ,   Confirmed  = 44, new today= 0 ,Active 0 ,Recovered 44 ,Deaths 0, &lt;/title&gt;</v>
      </c>
      <c r="L269" t="s">
        <v>239</v>
      </c>
      <c r="P269" s="15" t="str">
        <f t="shared" si="17"/>
        <v>410.82</v>
      </c>
      <c r="Q269" t="str">
        <f t="shared" si="18"/>
        <v>600.18</v>
      </c>
      <c r="V269" s="30">
        <v>460</v>
      </c>
      <c r="W269" s="30">
        <v>555</v>
      </c>
      <c r="X269" s="41" t="s">
        <v>12</v>
      </c>
      <c r="Y269" s="31">
        <v>520</v>
      </c>
      <c r="Z269" s="31">
        <v>585</v>
      </c>
      <c r="AC269" s="30">
        <v>460</v>
      </c>
      <c r="AD269" s="30">
        <v>555</v>
      </c>
      <c r="AE269" s="32" t="s">
        <v>12</v>
      </c>
      <c r="AF269" s="31">
        <v>520</v>
      </c>
      <c r="AG269" s="31">
        <v>585</v>
      </c>
    </row>
    <row r="270" spans="1:33" x14ac:dyDescent="0.3">
      <c r="A270" t="s">
        <v>16</v>
      </c>
      <c r="B270" t="str">
        <f t="shared" si="14"/>
        <v>&lt;g id="Lakes" transform="translate(468.43 370)"&gt;    &lt;text text-anchor="middle" y="30" class=""&gt;Lakes&lt;/text&gt;&lt;/g&gt;</v>
      </c>
      <c r="E270" s="4">
        <f>V270</f>
        <v>468.43</v>
      </c>
      <c r="F270" s="4">
        <f>W270</f>
        <v>370</v>
      </c>
      <c r="K270" t="str">
        <f>Tooltips!B11</f>
        <v>&lt;title&gt;Lakes DHB @Pop = 110410 ,   Confirmed  = 22, new today= 0 ,Active 2 ,Recovered 20 ,Deaths 0, &lt;/title&gt;</v>
      </c>
      <c r="L270" t="s">
        <v>240</v>
      </c>
      <c r="P270" s="15" t="str">
        <f t="shared" si="17"/>
        <v>448.43</v>
      </c>
      <c r="Q270" t="str">
        <f t="shared" si="18"/>
        <v>375.11</v>
      </c>
      <c r="V270" s="39">
        <v>468.43</v>
      </c>
      <c r="W270" s="39">
        <v>370</v>
      </c>
      <c r="X270" s="41" t="s">
        <v>16</v>
      </c>
      <c r="Y270" s="39">
        <v>530</v>
      </c>
      <c r="Z270" s="39">
        <v>370</v>
      </c>
      <c r="AC270" s="39">
        <v>468.43</v>
      </c>
      <c r="AD270" s="39">
        <v>381.11</v>
      </c>
      <c r="AE270" s="38" t="s">
        <v>16</v>
      </c>
      <c r="AF270" s="39">
        <v>530</v>
      </c>
      <c r="AG270" s="39">
        <v>410</v>
      </c>
    </row>
    <row r="271" spans="1:33" x14ac:dyDescent="0.3">
      <c r="A271" t="s">
        <v>13</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178820 ,   Confirmed  = 16, new today= 0 ,Active 0 ,Recovered 16 ,Deaths 0, &lt;/title&gt;</v>
      </c>
      <c r="L271" t="s">
        <v>241</v>
      </c>
      <c r="P271" s="15" t="str">
        <f t="shared" si="17"/>
        <v>530.2</v>
      </c>
      <c r="Q271" t="str">
        <f t="shared" si="18"/>
        <v>473.26</v>
      </c>
      <c r="V271" s="30">
        <v>530.20000000000005</v>
      </c>
      <c r="W271" s="30">
        <v>490</v>
      </c>
      <c r="X271" s="41" t="s">
        <v>13</v>
      </c>
      <c r="Y271" s="31">
        <v>590</v>
      </c>
      <c r="Z271" s="31">
        <v>520</v>
      </c>
      <c r="AA271" s="40"/>
      <c r="AC271" s="30">
        <v>530.20000000000005</v>
      </c>
      <c r="AD271" s="30">
        <v>490</v>
      </c>
      <c r="AE271" s="32" t="s">
        <v>13</v>
      </c>
      <c r="AF271" s="31">
        <v>590</v>
      </c>
      <c r="AG271" s="31">
        <v>520</v>
      </c>
    </row>
    <row r="272" spans="1:33" x14ac:dyDescent="0.3">
      <c r="A272" t="s">
        <v>7</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150770 ,   Confirmed  = 32, new today= 0 ,Active 0 ,Recovered 32 ,Deaths 0, &lt;/title&gt;</v>
      </c>
      <c r="L272" t="s">
        <v>242</v>
      </c>
      <c r="P272" s="15" t="str">
        <f t="shared" si="17"/>
        <v>246.24</v>
      </c>
      <c r="Q272" t="str">
        <f t="shared" si="18"/>
        <v>541.89</v>
      </c>
      <c r="V272" s="30">
        <v>250</v>
      </c>
      <c r="W272" s="30">
        <v>541.89</v>
      </c>
      <c r="X272" s="41" t="s">
        <v>7</v>
      </c>
      <c r="Y272" s="31">
        <v>160</v>
      </c>
      <c r="Z272" s="30">
        <v>570</v>
      </c>
      <c r="AC272" s="30">
        <v>250</v>
      </c>
      <c r="AD272" s="30">
        <v>541.89</v>
      </c>
      <c r="AE272" s="32" t="s">
        <v>7</v>
      </c>
      <c r="AF272" s="31">
        <v>160</v>
      </c>
      <c r="AG272" s="30">
        <v>570</v>
      </c>
    </row>
    <row r="273" spans="1:33" x14ac:dyDescent="0.3">
      <c r="A273" t="s">
        <v>17</v>
      </c>
      <c r="B273" t="str">
        <f t="shared" si="14"/>
        <v>&lt;g id="Northland" transform="translate(260 119.64)"&gt;    &lt;text text-anchor="middle" y="30" class=""&gt;Northland&lt;/text&gt;&lt;/g&gt;</v>
      </c>
      <c r="E273" s="4">
        <f t="shared" si="15"/>
        <v>260</v>
      </c>
      <c r="F273" s="4">
        <f t="shared" si="16"/>
        <v>119.64</v>
      </c>
      <c r="K273" t="str">
        <f>Tooltips!B14</f>
        <v>&lt;title&gt;Northland DHB @Pop = 179370 ,   Confirmed  = 49, new today= 0 ,Active 0 ,Recovered 49 ,Deaths 0, &lt;/title&gt;</v>
      </c>
      <c r="L273" t="s">
        <v>243</v>
      </c>
      <c r="P273" s="15" t="str">
        <f t="shared" si="17"/>
        <v>402.4</v>
      </c>
      <c r="Q273" t="str">
        <f t="shared" si="18"/>
        <v>119.64</v>
      </c>
      <c r="V273" s="33">
        <v>260</v>
      </c>
      <c r="W273" s="34">
        <v>119.64</v>
      </c>
      <c r="X273" s="41" t="s">
        <v>17</v>
      </c>
      <c r="Y273" s="36">
        <v>210</v>
      </c>
      <c r="Z273" s="31">
        <v>149.63999999999999</v>
      </c>
      <c r="AC273" s="33">
        <v>260</v>
      </c>
      <c r="AD273" s="34">
        <v>119.64</v>
      </c>
      <c r="AE273" s="35" t="s">
        <v>17</v>
      </c>
      <c r="AF273" s="36">
        <v>210</v>
      </c>
      <c r="AG273" s="31">
        <v>149.63999999999999</v>
      </c>
    </row>
    <row r="274" spans="1:33" x14ac:dyDescent="0.3">
      <c r="A274" t="s">
        <v>8</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60220 ,   Confirmed  = 28, new today= 0 ,Active 0 ,Recovered 28 ,Deaths 0, &lt;/title&gt;</v>
      </c>
      <c r="L274" t="s">
        <v>244</v>
      </c>
      <c r="P274" s="15" t="str">
        <f t="shared" si="17"/>
        <v>308.14</v>
      </c>
      <c r="Q274" t="str">
        <f t="shared" si="18"/>
        <v>768.18</v>
      </c>
      <c r="V274" s="30">
        <v>308.14</v>
      </c>
      <c r="W274" s="30">
        <v>768.18</v>
      </c>
      <c r="X274" s="41" t="s">
        <v>8</v>
      </c>
      <c r="Y274" s="31">
        <v>385</v>
      </c>
      <c r="Z274" s="31">
        <v>798.18</v>
      </c>
      <c r="AC274" s="30">
        <v>308.14</v>
      </c>
      <c r="AD274" s="30">
        <v>768.18</v>
      </c>
      <c r="AE274" s="32" t="s">
        <v>8</v>
      </c>
      <c r="AF274" s="31">
        <v>385</v>
      </c>
      <c r="AG274" s="31">
        <v>798.18</v>
      </c>
    </row>
    <row r="275" spans="1:33" x14ac:dyDescent="0.3">
      <c r="A275" t="s">
        <v>9</v>
      </c>
      <c r="B275" t="str">
        <f t="shared" si="14"/>
        <v>&lt;g id="Southern" transform="translate(235 895.89)"&gt;    &lt;text text-anchor="middle" y="30" class=""&gt;Southern&lt;/text&gt;&lt;/g&gt;</v>
      </c>
      <c r="E275" s="4">
        <f t="shared" si="15"/>
        <v>235</v>
      </c>
      <c r="F275" s="4">
        <f t="shared" si="16"/>
        <v>895.89</v>
      </c>
      <c r="K275" t="str">
        <f>Tooltips!B16</f>
        <v>&lt;title&gt;Southern DHB @Pop = 329890 ,   Confirmed  = 17, new today= 0 ,Active 0 ,Recovered 17 ,Deaths 0, &lt;/title&gt;</v>
      </c>
      <c r="L275" t="s">
        <v>245</v>
      </c>
      <c r="P275" s="15" t="str">
        <f t="shared" si="17"/>
        <v>121.24</v>
      </c>
      <c r="Q275" t="str">
        <f t="shared" si="18"/>
        <v>905.89</v>
      </c>
      <c r="V275" s="30">
        <v>235</v>
      </c>
      <c r="W275" s="31">
        <v>895.89</v>
      </c>
      <c r="X275" s="41" t="s">
        <v>9</v>
      </c>
      <c r="Y275" s="31">
        <v>300</v>
      </c>
      <c r="Z275" s="31">
        <v>930</v>
      </c>
      <c r="AC275" s="30">
        <v>235</v>
      </c>
      <c r="AD275" s="31">
        <v>895.89</v>
      </c>
      <c r="AE275" s="32" t="s">
        <v>9</v>
      </c>
      <c r="AF275" s="31">
        <v>300</v>
      </c>
      <c r="AG275" s="31">
        <v>930</v>
      </c>
    </row>
    <row r="276" spans="1:33" x14ac:dyDescent="0.3">
      <c r="A276" t="s">
        <v>206</v>
      </c>
      <c r="B276" t="str">
        <f t="shared" si="14"/>
        <v>&lt;g id="Tairāwhiti" transform="translate(600 330)"&gt;    &lt;text text-anchor="middle" y="30" class=""&gt;Tairāwhiti&lt;/text&gt;&lt;/g&gt;</v>
      </c>
      <c r="E276" s="4">
        <f t="shared" si="15"/>
        <v>600</v>
      </c>
      <c r="F276" s="4">
        <f t="shared" si="16"/>
        <v>330</v>
      </c>
      <c r="K276" t="str">
        <f>Tooltips!B17</f>
        <v>&lt;title&gt;Tairawhiti DHB @Pop = 329890 ,   Confirmed  = 216, new today= 0 ,Active 0 ,Recovered 214 ,Deaths 2, &lt;/title&gt;</v>
      </c>
      <c r="L276" t="s">
        <v>246</v>
      </c>
      <c r="P276" s="15" t="str">
        <f t="shared" si="17"/>
        <v>570.02</v>
      </c>
      <c r="Q276" t="str">
        <f t="shared" si="18"/>
        <v>363.17</v>
      </c>
      <c r="V276" s="30">
        <v>600</v>
      </c>
      <c r="W276" s="30">
        <v>330</v>
      </c>
      <c r="X276" s="41" t="s">
        <v>18</v>
      </c>
      <c r="Y276" s="31">
        <v>650</v>
      </c>
      <c r="Z276" s="31">
        <v>360</v>
      </c>
      <c r="AC276" s="30">
        <v>600</v>
      </c>
      <c r="AD276" s="30">
        <v>330</v>
      </c>
      <c r="AE276" s="32" t="s">
        <v>18</v>
      </c>
      <c r="AF276" s="31">
        <v>650</v>
      </c>
      <c r="AG276" s="31">
        <v>360</v>
      </c>
    </row>
    <row r="277" spans="1:33" x14ac:dyDescent="0.3">
      <c r="A277" t="s">
        <v>14</v>
      </c>
      <c r="B277" t="str">
        <f t="shared" si="14"/>
        <v>&lt;g id="Taranaki" transform="translate(310 375)"&gt;    &lt;text text-anchor="middle" y="30" class=""&gt;Taranaki&lt;/text&gt;&lt;/g&gt;</v>
      </c>
      <c r="E277" s="4">
        <f t="shared" si="15"/>
        <v>310</v>
      </c>
      <c r="F277" s="4">
        <f t="shared" si="16"/>
        <v>375</v>
      </c>
      <c r="K277" t="str">
        <f>Tooltips!B18</f>
        <v>&lt;title&gt;Taranaki DHB @Pop = 120050 ,   Confirmed  = 4, new today= 0 ,Active 0 ,Recovered 4 ,Deaths 0, &lt;/title&gt;</v>
      </c>
      <c r="L277" t="s">
        <v>247</v>
      </c>
      <c r="P277" s="15" t="str">
        <f t="shared" si="17"/>
        <v>353.8</v>
      </c>
      <c r="Q277" t="str">
        <f t="shared" si="18"/>
        <v>362.04</v>
      </c>
      <c r="V277" s="30">
        <v>310</v>
      </c>
      <c r="W277" s="31">
        <v>375</v>
      </c>
      <c r="X277" s="41" t="s">
        <v>14</v>
      </c>
      <c r="Y277" s="31">
        <v>260</v>
      </c>
      <c r="Z277" s="31">
        <v>405</v>
      </c>
      <c r="AC277" s="30">
        <v>310</v>
      </c>
      <c r="AD277" s="31">
        <v>375</v>
      </c>
      <c r="AE277" s="32" t="s">
        <v>14</v>
      </c>
      <c r="AF277" s="31">
        <v>260</v>
      </c>
      <c r="AG277" s="31">
        <v>405</v>
      </c>
    </row>
    <row r="278" spans="1:33" x14ac:dyDescent="0.3">
      <c r="A278" t="s">
        <v>10</v>
      </c>
      <c r="B278" t="str">
        <f t="shared" si="14"/>
        <v>&lt;g id="Waikato" transform="translate(360 309.9)"&gt;    &lt;text text-anchor="middle" y="30" class=""&gt;Waikato&lt;/text&gt;&lt;/g&gt;</v>
      </c>
      <c r="E278" s="4">
        <f t="shared" si="15"/>
        <v>360</v>
      </c>
      <c r="F278" s="4">
        <f t="shared" si="16"/>
        <v>309.89999999999998</v>
      </c>
      <c r="K278" t="str">
        <f>Tooltips!B19</f>
        <v>&lt;title&gt;Waikato DHB @Pop = 419890 ,   Confirmed  = 16, new today= 0 ,Active 0 ,Recovered 16 ,Deaths 0, &lt;/title&gt;</v>
      </c>
      <c r="L278" t="s">
        <v>248</v>
      </c>
      <c r="P278" s="15" t="str">
        <f t="shared" si="17"/>
        <v>350.68</v>
      </c>
      <c r="Q278" t="str">
        <f t="shared" si="18"/>
        <v>309.9</v>
      </c>
      <c r="V278" s="30">
        <v>360</v>
      </c>
      <c r="W278" s="30">
        <v>309.89999999999998</v>
      </c>
      <c r="X278" s="41" t="s">
        <v>10</v>
      </c>
      <c r="Y278" s="31">
        <v>300</v>
      </c>
      <c r="Z278" s="31">
        <v>339.9</v>
      </c>
      <c r="AC278" s="30">
        <v>360</v>
      </c>
      <c r="AD278" s="30">
        <v>309.89999999999998</v>
      </c>
      <c r="AE278" s="32" t="s">
        <v>10</v>
      </c>
      <c r="AF278" s="31">
        <v>300</v>
      </c>
      <c r="AG278" s="31">
        <v>339.9</v>
      </c>
    </row>
    <row r="279" spans="1:33" x14ac:dyDescent="0.3">
      <c r="A279" t="s">
        <v>20</v>
      </c>
      <c r="B279" t="str">
        <f t="shared" si="14"/>
        <v>&lt;g id="Wairarapa" transform="translate(500 525)"&gt;    &lt;text text-anchor="middle" y="30" class=""&gt;Wairarapa&lt;/text&gt;&lt;/g&gt;</v>
      </c>
      <c r="E279" s="4">
        <f t="shared" si="15"/>
        <v>500</v>
      </c>
      <c r="F279" s="4">
        <f t="shared" si="16"/>
        <v>525</v>
      </c>
      <c r="K279" t="str">
        <f>Tooltips!B20</f>
        <v>&lt;title&gt;Wairarapa DHB @Pop = 44905 ,   Confirmed  = 188, new today= 0 ,Active 0 ,Recovered 187 ,Deaths 1, &lt;/title&gt;</v>
      </c>
      <c r="L279" t="s">
        <v>249</v>
      </c>
      <c r="P279" s="15" t="str">
        <f t="shared" si="17"/>
        <v>518</v>
      </c>
      <c r="Q279" t="str">
        <f t="shared" si="18"/>
        <v>528.12</v>
      </c>
      <c r="V279" s="37">
        <v>500</v>
      </c>
      <c r="W279" s="37">
        <v>525</v>
      </c>
      <c r="X279" s="41" t="s">
        <v>20</v>
      </c>
      <c r="Y279" s="39">
        <v>550</v>
      </c>
      <c r="Z279" s="39">
        <v>555</v>
      </c>
      <c r="AC279" s="37">
        <v>500</v>
      </c>
      <c r="AD279" s="37">
        <v>525</v>
      </c>
      <c r="AE279" s="38" t="s">
        <v>20</v>
      </c>
      <c r="AF279" s="39">
        <v>550</v>
      </c>
      <c r="AG279" s="39">
        <v>555</v>
      </c>
    </row>
    <row r="280" spans="1:33" x14ac:dyDescent="0.3">
      <c r="A280" t="s">
        <v>815</v>
      </c>
      <c r="B280" t="str">
        <f t="shared" si="14"/>
        <v>&lt;g id="Waitematā" transform="translate(300 200)"&gt;    &lt;text text-anchor="middle" y="30" class=""&gt;Waitematā&lt;/text&gt;&lt;/g&gt;</v>
      </c>
      <c r="E280" s="4">
        <f t="shared" si="15"/>
        <v>300</v>
      </c>
      <c r="F280" s="4">
        <f t="shared" si="16"/>
        <v>200</v>
      </c>
      <c r="K280" t="str">
        <f>Tooltips!B21</f>
        <v>&lt;title&gt;Waitemata DHB @Pop = 628970 ,   Confirmed  = 8, new today= 0 ,Active 0 ,Recovered 8 ,Deaths 0, &lt;/title&gt;</v>
      </c>
      <c r="L280" t="s">
        <v>250</v>
      </c>
      <c r="P280" s="15" t="str">
        <f t="shared" si="17"/>
        <v>436.93</v>
      </c>
      <c r="Q280" t="str">
        <f t="shared" si="18"/>
        <v>179.19</v>
      </c>
      <c r="V280" s="30">
        <v>300</v>
      </c>
      <c r="W280" s="31">
        <v>200</v>
      </c>
      <c r="X280" s="41" t="s">
        <v>11</v>
      </c>
      <c r="Y280" s="31">
        <v>230</v>
      </c>
      <c r="Z280" s="31">
        <v>230</v>
      </c>
      <c r="AC280" s="30">
        <v>300</v>
      </c>
      <c r="AD280" s="31">
        <v>200</v>
      </c>
      <c r="AE280" s="32" t="s">
        <v>11</v>
      </c>
      <c r="AF280" s="31">
        <v>240</v>
      </c>
      <c r="AG280" s="31">
        <v>230</v>
      </c>
    </row>
    <row r="281" spans="1:33" x14ac:dyDescent="0.3">
      <c r="A281" t="s">
        <v>19</v>
      </c>
      <c r="B281" t="str">
        <f t="shared" si="14"/>
        <v>&lt;g id="West Coast" transform="translate(174.07 623.96)"&gt;    &lt;text text-anchor="middle" y="30" class=""&gt;West Coast&lt;/text&gt;&lt;/g&gt;</v>
      </c>
      <c r="E281" s="4">
        <f t="shared" si="15"/>
        <v>174.07</v>
      </c>
      <c r="F281" s="4">
        <f t="shared" si="16"/>
        <v>623.96</v>
      </c>
      <c r="K281" t="str">
        <f>Tooltips!B22</f>
        <v>&lt;title&gt;West Coast DHB @Pop = 32410 ,   Confirmed  = 237, new today= 0 ,Active 0 ,Recovered 233 ,Deaths 4, &lt;/title&gt;</v>
      </c>
      <c r="L281" t="s">
        <v>251</v>
      </c>
      <c r="P281" s="15" t="str">
        <f t="shared" si="17"/>
        <v>174.07</v>
      </c>
      <c r="Q281" t="str">
        <f t="shared" si="18"/>
        <v>623.96</v>
      </c>
      <c r="V281" s="37">
        <v>174.07</v>
      </c>
      <c r="W281" s="37">
        <v>623.96</v>
      </c>
      <c r="X281" s="41" t="s">
        <v>19</v>
      </c>
      <c r="Y281" s="39">
        <v>123</v>
      </c>
      <c r="Z281" s="37">
        <v>653</v>
      </c>
      <c r="AC281" s="37">
        <v>174.07</v>
      </c>
      <c r="AD281" s="37">
        <v>623.96</v>
      </c>
      <c r="AE281" s="38" t="s">
        <v>19</v>
      </c>
      <c r="AF281" s="39">
        <v>123</v>
      </c>
      <c r="AG281" s="37">
        <v>653</v>
      </c>
    </row>
    <row r="282" spans="1:33" ht="15.75" thickBot="1" x14ac:dyDescent="0.35">
      <c r="A282" t="s">
        <v>15</v>
      </c>
      <c r="B282" t="str">
        <f t="shared" si="14"/>
        <v>&lt;g id="Whanganui" transform="translate(380 450)"&gt;    &lt;text text-anchor="middle" y="30" class=""&gt;Whanganui&lt;/text&gt;&lt;/g&gt;</v>
      </c>
      <c r="E282" s="4">
        <f t="shared" si="15"/>
        <v>380</v>
      </c>
      <c r="F282" s="4">
        <f t="shared" si="16"/>
        <v>450</v>
      </c>
      <c r="K282" t="str">
        <f>Tooltips!B23</f>
        <v>&lt;title&gt;Whanganui DHB @Pop = 64550 ,   Confirmed  = 5, new today= 0 ,Active 0 ,Recovered 4 ,Deaths 1, &lt;/title&gt;</v>
      </c>
      <c r="L282" t="s">
        <v>252</v>
      </c>
      <c r="P282" s="15" t="str">
        <f t="shared" si="17"/>
        <v>353.79</v>
      </c>
      <c r="Q282" t="str">
        <f t="shared" si="18"/>
        <v>427.95</v>
      </c>
      <c r="V282" s="37">
        <v>380</v>
      </c>
      <c r="W282" s="37">
        <v>450</v>
      </c>
      <c r="X282" s="42" t="s">
        <v>15</v>
      </c>
      <c r="Y282" s="39">
        <v>325</v>
      </c>
      <c r="Z282" s="37">
        <v>480</v>
      </c>
      <c r="AC282" s="37">
        <v>380</v>
      </c>
      <c r="AD282" s="37">
        <v>450</v>
      </c>
      <c r="AE282" s="38" t="s">
        <v>15</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225</v>
      </c>
      <c r="V284" s="15"/>
      <c r="W284" s="15"/>
      <c r="X284" s="15"/>
    </row>
    <row r="285" spans="1:33" ht="15.75" thickBot="1" x14ac:dyDescent="0.35">
      <c r="V285" s="15"/>
      <c r="W285" s="15"/>
      <c r="X285" s="15"/>
    </row>
    <row r="286" spans="1:33" s="13" customFormat="1" x14ac:dyDescent="0.3">
      <c r="A286" s="14" t="s">
        <v>354</v>
      </c>
      <c r="G286" s="13" t="s">
        <v>254</v>
      </c>
      <c r="H286" s="13" t="s">
        <v>255</v>
      </c>
      <c r="J286" s="10"/>
      <c r="L286" s="13">
        <v>0.125</v>
      </c>
      <c r="V286" s="22" t="s">
        <v>451</v>
      </c>
      <c r="W286" s="23" t="s">
        <v>455</v>
      </c>
      <c r="X286" s="23"/>
      <c r="Y286" s="16" t="s">
        <v>452</v>
      </c>
      <c r="Z286" s="17" t="s">
        <v>455</v>
      </c>
    </row>
    <row r="287" spans="1:33" x14ac:dyDescent="0.3">
      <c r="B287" t="str">
        <f>C287</f>
        <v>&lt;g id="DOTS"&gt;</v>
      </c>
      <c r="C287" t="s">
        <v>226</v>
      </c>
      <c r="J287" s="10"/>
      <c r="V287" s="24" t="s">
        <v>453</v>
      </c>
      <c r="W287" s="25" t="s">
        <v>454</v>
      </c>
      <c r="X287" s="25"/>
      <c r="Y287" s="18" t="s">
        <v>453</v>
      </c>
      <c r="Z287" s="19" t="s">
        <v>454</v>
      </c>
    </row>
    <row r="288" spans="1:33" x14ac:dyDescent="0.3">
      <c r="A288" t="s">
        <v>1</v>
      </c>
      <c r="B288" t="str">
        <f>CONCATENATE($C$288,A288,$D$288,E288," ",F288,$G$288,Tooltips!B4,$H$288,I288,$J$288,K288,$L$288,M288,$P$288)</f>
        <v>&lt;g   id="Auckland" transform="translate(535 180)"&gt;&lt;title&gt;Auckland DHB @Pop = 545640 ,   Confirmed  = Total, new today= Change in last 24 hours ,Active Active ,Recovered Recovered ,Deaths Deceased, &lt;/title&gt;        &lt;circle r="12.5" cy="-7" fill="orange" &gt;&lt;/circle&gt; &lt;text text-anchor="middle"&gt;0&lt;/text&gt;&lt;/g&gt;</v>
      </c>
      <c r="C288" t="s">
        <v>541</v>
      </c>
      <c r="D288" t="s">
        <v>229</v>
      </c>
      <c r="E288" s="4">
        <f t="shared" ref="E288:F294" si="19">Y263</f>
        <v>535</v>
      </c>
      <c r="F288" s="4">
        <f t="shared" si="19"/>
        <v>180</v>
      </c>
      <c r="G288" t="s">
        <v>231</v>
      </c>
      <c r="H288" t="s">
        <v>253</v>
      </c>
      <c r="I288">
        <f>$L$286*M288+12.5</f>
        <v>12.5</v>
      </c>
      <c r="J288" t="s">
        <v>365</v>
      </c>
      <c r="K288" t="s">
        <v>366</v>
      </c>
      <c r="L288" t="s">
        <v>544</v>
      </c>
      <c r="M288" s="6">
        <f>VLOOKUP($A288,$P$158:$W$177,8)</f>
        <v>0</v>
      </c>
      <c r="N288" s="6">
        <f>VLOOKUP($A288,$P$158:$V$177,2)</f>
        <v>0.1</v>
      </c>
      <c r="O288" s="6">
        <f>VLOOKUP($A288,$P$158:$V$177,3)</f>
        <v>178</v>
      </c>
      <c r="P288" t="s">
        <v>233</v>
      </c>
      <c r="R288" t="s">
        <v>416</v>
      </c>
      <c r="S288" t="s">
        <v>417</v>
      </c>
      <c r="V288" s="24" t="s">
        <v>376</v>
      </c>
      <c r="W288" s="25" t="s">
        <v>377</v>
      </c>
      <c r="X288" s="28" t="s">
        <v>1</v>
      </c>
      <c r="Y288" s="18" t="s">
        <v>416</v>
      </c>
      <c r="Z288" s="19" t="s">
        <v>417</v>
      </c>
    </row>
    <row r="289" spans="1:26" x14ac:dyDescent="0.3">
      <c r="A289" t="s">
        <v>2</v>
      </c>
      <c r="B289" t="str">
        <f>CONCATENATE($C$288,A289,$D$288,E289," ",F289,$G$288,Tooltips!B5,$H$288,I289,$J$288,K289,$L$288,M289,$P$288)</f>
        <v>&lt;g   id="Bay of Plenty" transform="translate(610 260)"&gt;&lt;title&gt;Bay of Plenty DHB @Pop = 238380 ,   Confirmed  = 178, new today= 0 ,Active 0 ,Recovered 178 ,Deaths 0, &lt;/title&gt;        &lt;circle r="12.5" cy="-7" fill="orange" &gt;&lt;/circle&gt; &lt;text text-anchor="middle"&gt;0&lt;/text&gt;&lt;/g&gt;</v>
      </c>
      <c r="E289" s="4">
        <f t="shared" si="19"/>
        <v>610</v>
      </c>
      <c r="F289" s="4">
        <f t="shared" si="19"/>
        <v>260</v>
      </c>
      <c r="I289">
        <f t="shared" ref="I289:I307" si="20">$L$286*M289+12.5</f>
        <v>12.5</v>
      </c>
      <c r="K289" t="s">
        <v>366</v>
      </c>
      <c r="M289" s="6">
        <f t="shared" ref="M289:M307" si="21">VLOOKUP($A289,$P$158:$W$177,8)</f>
        <v>0</v>
      </c>
      <c r="N289" s="6">
        <f t="shared" ref="N289:N307" si="22">VLOOKUP($A289,$P$158:$V$177,2)</f>
        <v>0.1</v>
      </c>
      <c r="O289" s="6">
        <f t="shared" ref="O289:O307" si="23">VLOOKUP($A289,$P$158:$V$177,3)</f>
        <v>47</v>
      </c>
      <c r="R289" t="s">
        <v>418</v>
      </c>
      <c r="S289" t="s">
        <v>419</v>
      </c>
      <c r="V289" s="24" t="s">
        <v>378</v>
      </c>
      <c r="W289" s="25" t="s">
        <v>379</v>
      </c>
      <c r="X289" s="28" t="s">
        <v>2</v>
      </c>
      <c r="Y289" s="18" t="s">
        <v>418</v>
      </c>
      <c r="Z289" s="19" t="s">
        <v>419</v>
      </c>
    </row>
    <row r="290" spans="1:26" x14ac:dyDescent="0.3">
      <c r="A290" t="s">
        <v>3</v>
      </c>
      <c r="B290" t="str">
        <f>CONCATENATE($C$288,A290,$D$288,E290," ",F290,$G$288,Tooltips!B6,$H$288,I290,$J$288,K290,$L$288,M290,$P$288)</f>
        <v>&lt;g   id="Canterbury" transform="translate(410 710.71)"&gt;&lt;title&gt;Canterbury DHB @Pop = 567870 ,   Confirmed  = 47, new today= 0 ,Active 0 ,Recovered 47 ,Deaths 0, &lt;/title&gt;        &lt;circle r="12.5" cy="-7" fill="orange" &gt;&lt;/circle&gt; &lt;text text-anchor="middle"&gt;0&lt;/text&gt;&lt;/g&gt;</v>
      </c>
      <c r="E290" s="4">
        <f t="shared" si="19"/>
        <v>410</v>
      </c>
      <c r="F290" s="4">
        <f t="shared" si="19"/>
        <v>710.71</v>
      </c>
      <c r="I290">
        <f t="shared" si="20"/>
        <v>12.5</v>
      </c>
      <c r="K290" t="s">
        <v>366</v>
      </c>
      <c r="M290" s="6">
        <f t="shared" si="21"/>
        <v>0</v>
      </c>
      <c r="N290" s="6">
        <f t="shared" si="22"/>
        <v>0.1</v>
      </c>
      <c r="O290" s="6">
        <f t="shared" si="23"/>
        <v>152</v>
      </c>
      <c r="R290" t="s">
        <v>420</v>
      </c>
      <c r="S290" t="s">
        <v>421</v>
      </c>
      <c r="V290" s="24" t="s">
        <v>380</v>
      </c>
      <c r="W290" s="25" t="s">
        <v>381</v>
      </c>
      <c r="X290" s="28" t="s">
        <v>3</v>
      </c>
      <c r="Y290" s="18" t="s">
        <v>420</v>
      </c>
      <c r="Z290" s="19" t="s">
        <v>421</v>
      </c>
    </row>
    <row r="291" spans="1:26" x14ac:dyDescent="0.3">
      <c r="A291" t="s">
        <v>4</v>
      </c>
      <c r="B291" t="str">
        <f>CONCATENATE($C$288,A291,$D$288,E291," ",F291,$G$288,Tooltips!B7,$H$288,I291,$J$288,K291,$L$288,M291,$P$288)</f>
        <v>&lt;g   id="Capital and Coast" transform="translate(270 530)"&gt;&lt;title&gt;Capital and Coast DHB @Pop = 318040 ,   Confirmed  = 164, new today= 0 ,Active 0 ,Recovered 152 ,Deaths 12, &lt;/title&gt;        &lt;circle r="12.5" cy="-7" fill="orange" &gt;&lt;/circle&gt; &lt;text text-anchor="middle"&gt;0&lt;/text&gt;&lt;/g&gt;</v>
      </c>
      <c r="E291" s="4">
        <f t="shared" si="19"/>
        <v>270</v>
      </c>
      <c r="F291" s="4">
        <f t="shared" si="19"/>
        <v>530</v>
      </c>
      <c r="I291">
        <f t="shared" si="20"/>
        <v>12.5</v>
      </c>
      <c r="K291" t="s">
        <v>366</v>
      </c>
      <c r="M291" s="6">
        <f t="shared" si="21"/>
        <v>0</v>
      </c>
      <c r="N291" s="6">
        <f t="shared" si="22"/>
        <v>0.1</v>
      </c>
      <c r="O291" s="6">
        <f t="shared" si="23"/>
        <v>93</v>
      </c>
      <c r="R291" t="s">
        <v>422</v>
      </c>
      <c r="S291" t="s">
        <v>423</v>
      </c>
      <c r="V291" s="24" t="s">
        <v>382</v>
      </c>
      <c r="W291" s="25" t="s">
        <v>383</v>
      </c>
      <c r="X291" s="28" t="s">
        <v>4</v>
      </c>
      <c r="Y291" s="18" t="s">
        <v>422</v>
      </c>
      <c r="Z291" s="19" t="s">
        <v>423</v>
      </c>
    </row>
    <row r="292" spans="1:26" x14ac:dyDescent="0.3">
      <c r="A292" t="s">
        <v>5</v>
      </c>
      <c r="B292" t="str">
        <f>CONCATENATE($C$288,A292,$D$288,E292," ",F292,$G$288,Tooltips!B8,$H$288,I292,$J$288,K292,$L$288,M292,$P$288)</f>
        <v>&lt;g   id="Counties Manukau" transform="translate(230 280)"&gt;&lt;title&gt;Counties Manukau DHB @Pop = 563210 ,   Confirmed  = 95, new today= 0 ,Active 0 ,Recovered 93 ,Deaths 2, &lt;/title&gt;        &lt;circle r="12.875" cy="-7" fill="orange" &gt;&lt;/circle&gt; &lt;text text-anchor="middle"&gt;3&lt;/text&gt;&lt;/g&gt;</v>
      </c>
      <c r="E292" s="4">
        <f t="shared" si="19"/>
        <v>230</v>
      </c>
      <c r="F292" s="4">
        <f t="shared" si="19"/>
        <v>280</v>
      </c>
      <c r="I292">
        <f t="shared" si="20"/>
        <v>12.875</v>
      </c>
      <c r="K292" t="s">
        <v>366</v>
      </c>
      <c r="M292" s="6">
        <f t="shared" si="21"/>
        <v>3</v>
      </c>
      <c r="N292" s="6">
        <f t="shared" si="22"/>
        <v>3</v>
      </c>
      <c r="O292" s="6">
        <f t="shared" si="23"/>
        <v>131</v>
      </c>
      <c r="R292" t="s">
        <v>424</v>
      </c>
      <c r="S292" t="s">
        <v>425</v>
      </c>
      <c r="V292" s="24" t="s">
        <v>384</v>
      </c>
      <c r="W292" s="25" t="s">
        <v>385</v>
      </c>
      <c r="X292" s="28" t="s">
        <v>5</v>
      </c>
      <c r="Y292" s="18" t="s">
        <v>424</v>
      </c>
      <c r="Z292" s="19" t="s">
        <v>425</v>
      </c>
    </row>
    <row r="293" spans="1:26" x14ac:dyDescent="0.3">
      <c r="A293" t="s">
        <v>6</v>
      </c>
      <c r="B293" t="str">
        <f>CONCATENATE($C$288,A293,$D$288,E293," ",F293,$G$288,Tooltips!B9,$H$288,I293,$J$288,K293,$L$288,M293,$P$288)</f>
        <v>&lt;g   id="Hawke's Bay" transform="translate(640 430)"&gt;&lt;title&gt;Hawke's Bay DHB @Pop = 165610 ,   Confirmed  = 134, new today= 2 ,Active 3 ,Recovered 131 ,Deaths 0, &lt;/title&gt;        &lt;circle r="12.5" cy="-7" fill="orange" &gt;&lt;/circle&gt; &lt;text text-anchor="middle"&gt;0&lt;/text&gt;&lt;/g&gt;</v>
      </c>
      <c r="E293" s="4">
        <f t="shared" si="19"/>
        <v>640</v>
      </c>
      <c r="F293" s="4">
        <f t="shared" si="19"/>
        <v>430</v>
      </c>
      <c r="I293">
        <f t="shared" si="20"/>
        <v>12.5</v>
      </c>
      <c r="K293" t="s">
        <v>366</v>
      </c>
      <c r="M293" s="6">
        <f t="shared" si="21"/>
        <v>0</v>
      </c>
      <c r="N293" s="6">
        <f t="shared" si="22"/>
        <v>0.1</v>
      </c>
      <c r="O293" s="6">
        <f t="shared" si="23"/>
        <v>44</v>
      </c>
      <c r="R293" t="s">
        <v>426</v>
      </c>
      <c r="S293" t="s">
        <v>427</v>
      </c>
      <c r="V293" s="24" t="s">
        <v>386</v>
      </c>
      <c r="W293" s="25" t="s">
        <v>387</v>
      </c>
      <c r="X293" s="28" t="s">
        <v>6</v>
      </c>
      <c r="Y293" s="18" t="s">
        <v>426</v>
      </c>
      <c r="Z293" s="19" t="s">
        <v>427</v>
      </c>
    </row>
    <row r="294" spans="1:26" x14ac:dyDescent="0.3">
      <c r="A294" t="s">
        <v>12</v>
      </c>
      <c r="B294" t="str">
        <f>CONCATENATE($C$288,A294,$D$288,E294," ",F294,$G$288,Tooltips!B10,$H$288,I294,$J$288,K294,$L$288,M294,$P$288)</f>
        <v>&lt;g   id="Hutt Valley" transform="translate(520 585)"&gt;&lt;title&gt;Hutt Valley DHB @Pop = 149680 ,   Confirmed  = 44, new today= 0 ,Active 0 ,Recovered 44 ,Deaths 0, &lt;/title&gt;        &lt;circle r="12.75" cy="-7" fill="orange" &gt;&lt;/circle&gt; &lt;text text-anchor="middle"&gt;2&lt;/text&gt;&lt;/g&gt;</v>
      </c>
      <c r="E294" s="4">
        <f t="shared" si="19"/>
        <v>520</v>
      </c>
      <c r="F294" s="4">
        <f t="shared" si="19"/>
        <v>585</v>
      </c>
      <c r="I294">
        <f t="shared" si="20"/>
        <v>12.75</v>
      </c>
      <c r="K294" t="s">
        <v>366</v>
      </c>
      <c r="M294" s="6">
        <f t="shared" si="21"/>
        <v>2</v>
      </c>
      <c r="N294" s="6">
        <f t="shared" si="22"/>
        <v>2</v>
      </c>
      <c r="O294" s="6">
        <f t="shared" si="23"/>
        <v>20</v>
      </c>
      <c r="R294" t="s">
        <v>388</v>
      </c>
      <c r="S294" t="s">
        <v>389</v>
      </c>
      <c r="V294" s="24" t="s">
        <v>388</v>
      </c>
      <c r="W294" s="25" t="s">
        <v>389</v>
      </c>
      <c r="X294" s="28" t="s">
        <v>12</v>
      </c>
      <c r="Y294" s="18" t="s">
        <v>388</v>
      </c>
      <c r="Z294" s="19" t="s">
        <v>389</v>
      </c>
    </row>
    <row r="295" spans="1:26" x14ac:dyDescent="0.3">
      <c r="A295" t="s">
        <v>16</v>
      </c>
      <c r="B295" t="str">
        <f>CONCATENATE($C$288,A295,$D$288,E295," ",F295,$G$288,Tooltips!B11,$H$288,I295,$J$288,K295,$L$288,M295,$P$288)</f>
        <v>&lt;g   id="Lakes" transform="translate(468.43 370)"&gt;&lt;title&gt;Lakes DHB @Pop = 110410 ,   Confirmed  = 22, new today= 0 ,Active 2 ,Recovered 20 ,Deaths 0, &lt;/title&gt;        &lt;circle r="12.5" cy="-7" fill="orange" &gt;&lt;/circle&gt; &lt;text text-anchor="middle"&gt;0&lt;/text&gt;&lt;/g&gt;</v>
      </c>
      <c r="E295" s="4">
        <f>V270</f>
        <v>468.43</v>
      </c>
      <c r="F295" s="4">
        <f>W270</f>
        <v>370</v>
      </c>
      <c r="I295">
        <f t="shared" si="20"/>
        <v>12.5</v>
      </c>
      <c r="K295" t="s">
        <v>366</v>
      </c>
      <c r="M295" s="6">
        <f t="shared" si="21"/>
        <v>0</v>
      </c>
      <c r="N295" s="6">
        <f t="shared" si="22"/>
        <v>0.1</v>
      </c>
      <c r="O295" s="6">
        <f t="shared" si="23"/>
        <v>16</v>
      </c>
      <c r="R295" t="s">
        <v>428</v>
      </c>
      <c r="S295" t="s">
        <v>429</v>
      </c>
      <c r="V295" s="24" t="s">
        <v>390</v>
      </c>
      <c r="W295" s="25" t="s">
        <v>391</v>
      </c>
      <c r="X295" s="28" t="s">
        <v>16</v>
      </c>
      <c r="Y295" s="18" t="s">
        <v>428</v>
      </c>
      <c r="Z295" s="19" t="s">
        <v>429</v>
      </c>
    </row>
    <row r="296" spans="1:26" x14ac:dyDescent="0.3">
      <c r="A296" t="s">
        <v>13</v>
      </c>
      <c r="B296" t="str">
        <f>CONCATENATE($C$288,A296,$D$288,E296," ",F296,$G$288,Tooltips!B12,$H$288,I296,$J$288,K296,$L$288,M296,$P$288)</f>
        <v>&lt;g   id="MidCentral" transform="translate(590 520)"&gt;&lt;title&gt;MidCentral DHB @Pop = 178820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366</v>
      </c>
      <c r="M296" s="6">
        <f t="shared" si="21"/>
        <v>0</v>
      </c>
      <c r="N296" s="6">
        <f t="shared" si="22"/>
        <v>0.1</v>
      </c>
      <c r="O296" s="6">
        <f t="shared" si="23"/>
        <v>32</v>
      </c>
      <c r="R296" t="s">
        <v>430</v>
      </c>
      <c r="S296" t="s">
        <v>431</v>
      </c>
      <c r="V296" s="24" t="s">
        <v>392</v>
      </c>
      <c r="W296" s="25" t="s">
        <v>393</v>
      </c>
      <c r="X296" s="28" t="s">
        <v>13</v>
      </c>
      <c r="Y296" s="18" t="s">
        <v>430</v>
      </c>
      <c r="Z296" s="19" t="s">
        <v>431</v>
      </c>
    </row>
    <row r="297" spans="1:26" x14ac:dyDescent="0.3">
      <c r="A297" t="s">
        <v>7</v>
      </c>
      <c r="B297" t="str">
        <f>CONCATENATE($C$288,A297,$D$288,E297," ",F297,$G$288,Tooltips!B13,$H$288,I297,$J$288,K297,$L$288,M297,$P$288)</f>
        <v>&lt;g   id="Nelson Marlborough" transform="translate(160 570)"&gt;&lt;title&gt;Nelson Marlborough DHB @Pop = 150770 ,   Confirmed  = 32, new today= 0 ,Active 0 ,Recovered 32 ,Deaths 0, &lt;/title&gt;        &lt;circle r="12.5" cy="-7" fill="orange" &gt;&lt;/circle&gt; &lt;text text-anchor="middle"&gt;0&lt;/text&gt;&lt;/g&gt;</v>
      </c>
      <c r="E297" s="4">
        <f t="shared" si="24"/>
        <v>160</v>
      </c>
      <c r="F297" s="4">
        <f t="shared" si="25"/>
        <v>570</v>
      </c>
      <c r="I297">
        <f t="shared" si="20"/>
        <v>12.5</v>
      </c>
      <c r="K297" t="s">
        <v>366</v>
      </c>
      <c r="M297" s="6">
        <f t="shared" si="21"/>
        <v>0</v>
      </c>
      <c r="N297" s="6">
        <f t="shared" si="22"/>
        <v>0.1</v>
      </c>
      <c r="O297" s="6">
        <f t="shared" si="23"/>
        <v>49</v>
      </c>
      <c r="R297" t="s">
        <v>432</v>
      </c>
      <c r="S297" t="s">
        <v>433</v>
      </c>
      <c r="V297" s="24" t="s">
        <v>394</v>
      </c>
      <c r="W297" s="25" t="s">
        <v>395</v>
      </c>
      <c r="X297" s="28" t="s">
        <v>7</v>
      </c>
      <c r="Y297" s="18" t="s">
        <v>432</v>
      </c>
      <c r="Z297" s="19" t="s">
        <v>433</v>
      </c>
    </row>
    <row r="298" spans="1:26" x14ac:dyDescent="0.3">
      <c r="A298" t="s">
        <v>17</v>
      </c>
      <c r="B298" t="str">
        <f>CONCATENATE($C$288,A298,$D$288,E298," ",F298,$G$288,Tooltips!B14,$H$288,I298,$J$288,K298,$L$288,M298,$P$288)</f>
        <v>&lt;g   id="Northland" transform="translate(210 149.64)"&gt;&lt;title&gt;Northland DHB @Pop = 179370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366</v>
      </c>
      <c r="M298" s="6">
        <f t="shared" si="21"/>
        <v>0</v>
      </c>
      <c r="N298" s="6">
        <f t="shared" si="22"/>
        <v>0.1</v>
      </c>
      <c r="O298" s="6">
        <f t="shared" si="23"/>
        <v>28</v>
      </c>
      <c r="R298" t="s">
        <v>434</v>
      </c>
      <c r="S298" t="s">
        <v>435</v>
      </c>
      <c r="V298" s="24" t="s">
        <v>396</v>
      </c>
      <c r="W298" s="25" t="s">
        <v>397</v>
      </c>
      <c r="X298" s="28" t="s">
        <v>17</v>
      </c>
      <c r="Y298" s="18" t="s">
        <v>434</v>
      </c>
      <c r="Z298" s="19" t="s">
        <v>435</v>
      </c>
    </row>
    <row r="299" spans="1:26" x14ac:dyDescent="0.3">
      <c r="A299" t="s">
        <v>8</v>
      </c>
      <c r="B299" t="str">
        <f>CONCATENATE($C$288,A299,$D$288,E299," ",F299,$G$288,Tooltips!B15,$H$288,I299,$J$288,K299,$L$288,M299,$P$288)</f>
        <v>&lt;g   id="South Canterbury" transform="translate(385 798.18)"&gt;&lt;title&gt;South Canterbury DHB @Pop = 60220 ,   Confirmed  = 28, new today= 0 ,Active 0 ,Recovered 28 ,Deaths 0, &lt;/title&gt;        &lt;circle r="12.5" cy="-7" fill="orange" &gt;&lt;/circle&gt; &lt;text text-anchor="middle"&gt;0&lt;/text&gt;&lt;/g&gt;</v>
      </c>
      <c r="E299" s="4">
        <f t="shared" si="24"/>
        <v>385</v>
      </c>
      <c r="F299" s="4">
        <f t="shared" si="25"/>
        <v>798.18</v>
      </c>
      <c r="I299">
        <f t="shared" si="20"/>
        <v>12.5</v>
      </c>
      <c r="K299" t="s">
        <v>366</v>
      </c>
      <c r="M299" s="6">
        <f t="shared" si="21"/>
        <v>0</v>
      </c>
      <c r="N299" s="6">
        <f t="shared" si="22"/>
        <v>0.1</v>
      </c>
      <c r="O299" s="6">
        <f t="shared" si="23"/>
        <v>17</v>
      </c>
      <c r="R299" t="s">
        <v>436</v>
      </c>
      <c r="S299" t="s">
        <v>437</v>
      </c>
      <c r="V299" s="24" t="s">
        <v>398</v>
      </c>
      <c r="W299" s="25" t="s">
        <v>399</v>
      </c>
      <c r="X299" s="28" t="s">
        <v>8</v>
      </c>
      <c r="Y299" s="18" t="s">
        <v>436</v>
      </c>
      <c r="Z299" s="19" t="s">
        <v>437</v>
      </c>
    </row>
    <row r="300" spans="1:26" x14ac:dyDescent="0.3">
      <c r="A300" t="s">
        <v>9</v>
      </c>
      <c r="B300" t="str">
        <f>CONCATENATE($C$288,A300,$D$288,E300," ",F300,$G$288,Tooltips!B16,$H$288,I300,$J$288,K300,$L$288,M300,$P$288)</f>
        <v>&lt;g   id="Southern" transform="translate(300 930)"&gt;&lt;title&gt;Southern DHB @Pop = 329890 ,   Confirmed  = 17, new today= 0 ,Active 0 ,Recovered 17 ,Deaths 0, &lt;/title&gt;        &lt;circle r="12.5" cy="-7" fill="orange" &gt;&lt;/circle&gt; &lt;text text-anchor="middle"&gt;0&lt;/text&gt;&lt;/g&gt;</v>
      </c>
      <c r="E300" s="4">
        <f t="shared" si="24"/>
        <v>300</v>
      </c>
      <c r="F300" s="4">
        <f t="shared" si="25"/>
        <v>930</v>
      </c>
      <c r="I300">
        <f t="shared" si="20"/>
        <v>12.5</v>
      </c>
      <c r="K300" t="s">
        <v>366</v>
      </c>
      <c r="M300" s="6">
        <f t="shared" si="21"/>
        <v>0</v>
      </c>
      <c r="N300" s="6">
        <f t="shared" si="22"/>
        <v>0.1</v>
      </c>
      <c r="O300" s="6">
        <f t="shared" si="23"/>
        <v>214</v>
      </c>
      <c r="R300" t="s">
        <v>438</v>
      </c>
      <c r="S300" t="s">
        <v>439</v>
      </c>
      <c r="V300" s="24" t="s">
        <v>400</v>
      </c>
      <c r="W300" s="25" t="s">
        <v>401</v>
      </c>
      <c r="X300" s="28" t="s">
        <v>9</v>
      </c>
      <c r="Y300" s="18" t="s">
        <v>438</v>
      </c>
      <c r="Z300" s="19" t="s">
        <v>439</v>
      </c>
    </row>
    <row r="301" spans="1:26" x14ac:dyDescent="0.3">
      <c r="A301" t="s">
        <v>206</v>
      </c>
      <c r="B301" t="str">
        <f>CONCATENATE($C$288,A301,$D$288,E301," ",F301,$G$288,Tooltips!B17,$H$288,I301,$J$288,K301,$L$288,M301,$P$288)</f>
        <v>&lt;g   id="Tairāwhiti" transform="translate(650 360)"&gt;&lt;title&gt;Tairawhiti DHB @Pop = 329890 ,   Confirmed  = 216, new today= 0 ,Active 0 ,Recovered 214 ,Deaths 2, &lt;/title&gt;        &lt;circle r="12.5" cy="-7" fill="orange" &gt;&lt;/circle&gt; &lt;text text-anchor="middle"&gt;0&lt;/text&gt;&lt;/g&gt;</v>
      </c>
      <c r="E301" s="4">
        <f t="shared" si="24"/>
        <v>650</v>
      </c>
      <c r="F301" s="4">
        <f t="shared" si="25"/>
        <v>360</v>
      </c>
      <c r="I301">
        <f t="shared" si="20"/>
        <v>12.5</v>
      </c>
      <c r="K301" t="s">
        <v>366</v>
      </c>
      <c r="M301" s="6">
        <f t="shared" si="21"/>
        <v>0</v>
      </c>
      <c r="N301" s="6">
        <f t="shared" si="22"/>
        <v>0.1</v>
      </c>
      <c r="O301" s="6">
        <f t="shared" si="23"/>
        <v>4</v>
      </c>
      <c r="R301" t="s">
        <v>402</v>
      </c>
      <c r="S301" t="s">
        <v>403</v>
      </c>
      <c r="V301" s="24" t="s">
        <v>402</v>
      </c>
      <c r="W301" s="25" t="s">
        <v>403</v>
      </c>
      <c r="X301" s="28" t="s">
        <v>18</v>
      </c>
      <c r="Y301" s="18" t="s">
        <v>402</v>
      </c>
      <c r="Z301" s="19" t="s">
        <v>403</v>
      </c>
    </row>
    <row r="302" spans="1:26" x14ac:dyDescent="0.3">
      <c r="A302" t="s">
        <v>14</v>
      </c>
      <c r="B302" t="str">
        <f>CONCATENATE($C$288,A302,$D$288,E302," ",F302,$G$288,Tooltips!B18,$H$288,I302,$J$288,K302,$L$288,M302,$P$288)</f>
        <v>&lt;g   id="Taranaki" transform="translate(260 405)"&gt;&lt;title&gt;Taranaki DHB @Pop = 120050 ,   Confirmed  = 4, new today= 0 ,Active 0 ,Recovered 4 ,Deaths 0, &lt;/title&gt;        &lt;circle r="12.5" cy="-7" fill="orange" &gt;&lt;/circle&gt; &lt;text text-anchor="middle"&gt;0&lt;/text&gt;&lt;/g&gt;</v>
      </c>
      <c r="E302" s="4">
        <f t="shared" si="24"/>
        <v>260</v>
      </c>
      <c r="F302" s="4">
        <f t="shared" si="25"/>
        <v>405</v>
      </c>
      <c r="I302">
        <f t="shared" si="20"/>
        <v>12.5</v>
      </c>
      <c r="K302" t="s">
        <v>366</v>
      </c>
      <c r="M302" s="6">
        <f t="shared" si="21"/>
        <v>0</v>
      </c>
      <c r="N302" s="6">
        <f t="shared" si="22"/>
        <v>0.1</v>
      </c>
      <c r="O302" s="6">
        <f t="shared" si="23"/>
        <v>16</v>
      </c>
      <c r="R302" t="s">
        <v>440</v>
      </c>
      <c r="S302" t="s">
        <v>441</v>
      </c>
      <c r="V302" s="24" t="s">
        <v>404</v>
      </c>
      <c r="W302" s="25" t="s">
        <v>405</v>
      </c>
      <c r="X302" s="28" t="s">
        <v>14</v>
      </c>
      <c r="Y302" s="18" t="s">
        <v>440</v>
      </c>
      <c r="Z302" s="19" t="s">
        <v>441</v>
      </c>
    </row>
    <row r="303" spans="1:26" x14ac:dyDescent="0.3">
      <c r="A303" t="s">
        <v>10</v>
      </c>
      <c r="B303" t="str">
        <f>CONCATENATE($C$288,A303,$D$288,E303," ",F303,$G$288,Tooltips!B19,$H$288,I303,$J$288,K303,$L$288,M303,$P$288)</f>
        <v>&lt;g   id="Waikato" transform="translate(300 339.9)"&gt;&lt;title&gt;Waikato DHB @Pop = 419890 ,   Confirmed  = 16, new today= 0 ,Active 0 ,Recovered 16 ,Deaths 0, &lt;/title&gt;        &lt;circle r="12.5" cy="-7" fill="orange" &gt;&lt;/circle&gt; &lt;text text-anchor="middle"&gt;0&lt;/text&gt;&lt;/g&gt;</v>
      </c>
      <c r="E303" s="4">
        <f t="shared" si="24"/>
        <v>300</v>
      </c>
      <c r="F303" s="4">
        <f t="shared" si="25"/>
        <v>339.9</v>
      </c>
      <c r="I303">
        <f t="shared" si="20"/>
        <v>12.5</v>
      </c>
      <c r="K303" t="s">
        <v>366</v>
      </c>
      <c r="M303" s="6">
        <f t="shared" si="21"/>
        <v>0</v>
      </c>
      <c r="N303" s="6">
        <f t="shared" si="22"/>
        <v>0.1</v>
      </c>
      <c r="O303" s="6">
        <f t="shared" si="23"/>
        <v>187</v>
      </c>
      <c r="R303" t="s">
        <v>442</v>
      </c>
      <c r="S303" t="s">
        <v>443</v>
      </c>
      <c r="V303" s="24" t="s">
        <v>406</v>
      </c>
      <c r="W303" s="25" t="s">
        <v>407</v>
      </c>
      <c r="X303" s="28" t="s">
        <v>10</v>
      </c>
      <c r="Y303" s="18" t="s">
        <v>442</v>
      </c>
      <c r="Z303" s="19" t="s">
        <v>443</v>
      </c>
    </row>
    <row r="304" spans="1:26" x14ac:dyDescent="0.3">
      <c r="A304" t="s">
        <v>20</v>
      </c>
      <c r="B304" t="str">
        <f>CONCATENATE($C$288,A304,$D$288,E304," ",F304,$G$288,Tooltips!B20,$H$288,I304,$J$288,K304,$L$288,M304,$P$288)</f>
        <v>&lt;g   id="Wairarapa" transform="translate(550 555)"&gt;&lt;title&gt;Wairarapa DHB @Pop = 44905 ,   Confirmed  = 188, new today= 0 ,Active 0 ,Recovered 187 ,Deaths 1, &lt;/title&gt;        &lt;circle r="12.5" cy="-7" fill="orange" &gt;&lt;/circle&gt; &lt;text text-anchor="middle"&gt;0&lt;/text&gt;&lt;/g&gt;</v>
      </c>
      <c r="E304" s="4">
        <f t="shared" si="24"/>
        <v>550</v>
      </c>
      <c r="F304" s="4">
        <f t="shared" si="25"/>
        <v>555</v>
      </c>
      <c r="I304">
        <f t="shared" si="20"/>
        <v>12.5</v>
      </c>
      <c r="K304" t="s">
        <v>366</v>
      </c>
      <c r="M304" s="6">
        <f t="shared" si="21"/>
        <v>0</v>
      </c>
      <c r="N304" s="6">
        <f t="shared" si="22"/>
        <v>0.1</v>
      </c>
      <c r="O304" s="6">
        <f t="shared" si="23"/>
        <v>8</v>
      </c>
      <c r="R304" t="s">
        <v>444</v>
      </c>
      <c r="S304" t="s">
        <v>445</v>
      </c>
      <c r="V304" s="24" t="s">
        <v>408</v>
      </c>
      <c r="W304" s="25" t="s">
        <v>409</v>
      </c>
      <c r="X304" s="28" t="s">
        <v>20</v>
      </c>
      <c r="Y304" s="18" t="s">
        <v>444</v>
      </c>
      <c r="Z304" s="19" t="s">
        <v>445</v>
      </c>
    </row>
    <row r="305" spans="1:26" s="59" customFormat="1" x14ac:dyDescent="0.3">
      <c r="A305" s="59" t="s">
        <v>815</v>
      </c>
      <c r="B305" t="str">
        <f>CONCATENATE($C$288,A305,$D$288,E305," ",F305,$G$288,Tooltips!B21,$H$288,I305,$J$288,K305,$L$288,M305,$P$288)</f>
        <v>&lt;g   id="Waitematā" transform="translate(230 230)"&gt;&lt;title&gt;Waitemata DHB @Pop = 628970 ,   Confirmed  = 8, new today= 0 ,Active 0 ,Recovered 8 ,Deaths 0, &lt;/title&gt;        &lt;circle r="12.5" cy="-7" fill="orange" &gt;&lt;/circle&gt; &lt;text text-anchor="middle"&gt;0&lt;/text&gt;&lt;/g&gt;</v>
      </c>
      <c r="E305" s="60">
        <f t="shared" si="24"/>
        <v>230</v>
      </c>
      <c r="F305" s="60">
        <f t="shared" si="25"/>
        <v>230</v>
      </c>
      <c r="I305" s="59">
        <f t="shared" si="20"/>
        <v>12.5</v>
      </c>
      <c r="K305" t="s">
        <v>366</v>
      </c>
      <c r="M305" s="6">
        <f t="shared" si="21"/>
        <v>0</v>
      </c>
      <c r="N305" s="6">
        <f t="shared" si="22"/>
        <v>0.1</v>
      </c>
      <c r="O305" s="6">
        <f t="shared" si="23"/>
        <v>233</v>
      </c>
      <c r="R305" s="59" t="s">
        <v>446</v>
      </c>
      <c r="S305" s="59" t="s">
        <v>385</v>
      </c>
      <c r="V305" s="61" t="s">
        <v>410</v>
      </c>
      <c r="W305" s="62" t="s">
        <v>411</v>
      </c>
      <c r="X305" s="63" t="s">
        <v>11</v>
      </c>
      <c r="Y305" s="64" t="s">
        <v>446</v>
      </c>
      <c r="Z305" s="65" t="s">
        <v>385</v>
      </c>
    </row>
    <row r="306" spans="1:26" x14ac:dyDescent="0.3">
      <c r="A306" t="s">
        <v>19</v>
      </c>
      <c r="B306" t="str">
        <f>CONCATENATE($C$288,A306,$D$288,E306," ",F306,$G$288,Tooltips!B22,$H$288,I306,$J$288,K306,$L$288,M306,$P$288)</f>
        <v>&lt;g   id="West Coast" transform="translate(123 653)"&gt;&lt;title&gt;West Coast DHB @Pop = 32410 ,   Confirmed  = 237, new today= 0 ,Active 0 ,Recovered 233 ,Deaths 4, &lt;/title&gt;        &lt;circle r="12.5" cy="-7" fill="orange" &gt;&lt;/circle&gt; &lt;text text-anchor="middle"&gt;0&lt;/text&gt;&lt;/g&gt;</v>
      </c>
      <c r="E306" s="4">
        <f t="shared" si="24"/>
        <v>123</v>
      </c>
      <c r="F306" s="4">
        <f t="shared" si="25"/>
        <v>653</v>
      </c>
      <c r="I306">
        <f t="shared" si="20"/>
        <v>12.5</v>
      </c>
      <c r="K306" t="s">
        <v>366</v>
      </c>
      <c r="M306" s="6">
        <f t="shared" si="21"/>
        <v>0</v>
      </c>
      <c r="N306" s="6">
        <f t="shared" si="22"/>
        <v>0.1</v>
      </c>
      <c r="O306" s="6">
        <f t="shared" si="23"/>
        <v>4</v>
      </c>
      <c r="R306" t="s">
        <v>447</v>
      </c>
      <c r="S306" t="s">
        <v>448</v>
      </c>
      <c r="V306" s="24" t="s">
        <v>412</v>
      </c>
      <c r="W306" s="25" t="s">
        <v>413</v>
      </c>
      <c r="X306" s="28" t="s">
        <v>19</v>
      </c>
      <c r="Y306" s="18" t="s">
        <v>447</v>
      </c>
      <c r="Z306" s="19" t="s">
        <v>448</v>
      </c>
    </row>
    <row r="307" spans="1:26" ht="15.75" thickBot="1" x14ac:dyDescent="0.35">
      <c r="A307" t="s">
        <v>15</v>
      </c>
      <c r="B307" t="str">
        <f>CONCATENATE($C$288,A307,$D$288,E307," ",F307,$G$288,Tooltips!B23,$H$288,I307,$J$288,K307,$L$288,M307,$P$288)</f>
        <v>&lt;g   id="Whanganui" transform="translate(325 480)"&gt;&lt;title&gt;Whanganui DHB @Pop = 64550 ,   Confirmed  = 5, new today= 0 ,Active 0 ,Recovered 4 ,Deaths 1, &lt;/title&gt;        &lt;circle r="12.5" cy="-7" fill="orange" &gt;&lt;/circle&gt; &lt;text text-anchor="middle"&gt;0&lt;/text&gt;&lt;/g&gt;</v>
      </c>
      <c r="E307" s="4">
        <f t="shared" si="24"/>
        <v>325</v>
      </c>
      <c r="F307" s="4">
        <f t="shared" si="25"/>
        <v>480</v>
      </c>
      <c r="I307">
        <f t="shared" si="20"/>
        <v>12.5</v>
      </c>
      <c r="K307" t="s">
        <v>366</v>
      </c>
      <c r="M307" s="6">
        <f t="shared" si="21"/>
        <v>0</v>
      </c>
      <c r="N307" s="6">
        <f t="shared" si="22"/>
        <v>0.1</v>
      </c>
      <c r="O307" s="6">
        <f t="shared" si="23"/>
        <v>4</v>
      </c>
      <c r="R307" t="s">
        <v>449</v>
      </c>
      <c r="S307" t="s">
        <v>450</v>
      </c>
      <c r="V307" s="26" t="s">
        <v>414</v>
      </c>
      <c r="W307" s="27" t="s">
        <v>415</v>
      </c>
      <c r="X307" s="29" t="s">
        <v>15</v>
      </c>
      <c r="Y307" s="20" t="s">
        <v>449</v>
      </c>
      <c r="Z307" s="21" t="s">
        <v>450</v>
      </c>
    </row>
    <row r="308" spans="1:26" x14ac:dyDescent="0.3">
      <c r="B308" t="str">
        <f>C308</f>
        <v>&lt;/g&gt;&lt;/g&gt;</v>
      </c>
      <c r="C308" t="s">
        <v>355</v>
      </c>
    </row>
    <row r="309" spans="1:26" x14ac:dyDescent="0.3">
      <c r="B309" t="str">
        <f>C309</f>
        <v>&lt;/svg&gt;</v>
      </c>
      <c r="C309" t="s">
        <v>363</v>
      </c>
    </row>
    <row r="310" spans="1:26" x14ac:dyDescent="0.3">
      <c r="B310" t="str">
        <f>C310</f>
        <v>&lt;/div&gt;</v>
      </c>
      <c r="C310" t="s">
        <v>464</v>
      </c>
      <c r="K310" t="s">
        <v>458</v>
      </c>
    </row>
    <row r="311" spans="1:26" x14ac:dyDescent="0.3">
      <c r="K311" t="s">
        <v>373</v>
      </c>
    </row>
    <row r="312" spans="1:26" x14ac:dyDescent="0.3">
      <c r="B312" t="str">
        <f>C312</f>
        <v>&lt;div id="data" align="right"&gt;</v>
      </c>
      <c r="C312" t="s">
        <v>579</v>
      </c>
      <c r="K312" s="10" t="s">
        <v>458</v>
      </c>
    </row>
    <row r="313" spans="1:26" x14ac:dyDescent="0.3">
      <c r="B313" t="str">
        <f>C313</f>
        <v>&lt;div id="data_table" align="left"&gt;</v>
      </c>
      <c r="C313" t="s">
        <v>577</v>
      </c>
      <c r="K313" s="10"/>
    </row>
    <row r="314" spans="1:26" x14ac:dyDescent="0.3">
      <c r="B314" t="str">
        <f>C314</f>
        <v>&lt;/div&gt;</v>
      </c>
      <c r="C314" t="s">
        <v>464</v>
      </c>
      <c r="K314" s="10"/>
    </row>
    <row r="315" spans="1:26" x14ac:dyDescent="0.3">
      <c r="B315" t="str">
        <f>C315</f>
        <v>&lt;br&gt;&lt;br&gt;</v>
      </c>
      <c r="C315" t="s">
        <v>591</v>
      </c>
      <c r="K315" s="10"/>
    </row>
    <row r="316" spans="1:26" x14ac:dyDescent="0.3">
      <c r="K316" s="10"/>
    </row>
    <row r="317" spans="1:26" x14ac:dyDescent="0.3">
      <c r="B317" t="str">
        <f>C317</f>
        <v>&lt;div id="chartdiv" style="width: 100%; height: 400px; background-color: #FFFFFF;" &gt;</v>
      </c>
      <c r="C317" t="s">
        <v>649</v>
      </c>
      <c r="E317" t="s">
        <v>588</v>
      </c>
    </row>
    <row r="318" spans="1:26" x14ac:dyDescent="0.3">
      <c r="B318" t="str">
        <f>C318</f>
        <v>&lt;/div&gt;</v>
      </c>
      <c r="C318" t="s">
        <v>464</v>
      </c>
    </row>
    <row r="320" spans="1:26" x14ac:dyDescent="0.3">
      <c r="B320" t="str">
        <f>C320</f>
        <v>&lt;/div&gt;</v>
      </c>
      <c r="C320" t="s">
        <v>464</v>
      </c>
    </row>
    <row r="322" spans="1:3" x14ac:dyDescent="0.3">
      <c r="B322" t="str">
        <f>C322</f>
        <v>&lt;/div&gt;</v>
      </c>
      <c r="C322" t="s">
        <v>464</v>
      </c>
    </row>
    <row r="323" spans="1:3" x14ac:dyDescent="0.3">
      <c r="B323" t="str">
        <f>C323</f>
        <v>&lt;/body&gt;</v>
      </c>
      <c r="C323" t="s">
        <v>364</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79"/>
  <sheetViews>
    <sheetView workbookViewId="0">
      <selection activeCell="B9" sqref="B9"/>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1097</v>
      </c>
    </row>
    <row r="3" spans="1:7" x14ac:dyDescent="0.3">
      <c r="B3" t="s">
        <v>816</v>
      </c>
      <c r="C3" t="s">
        <v>517</v>
      </c>
    </row>
    <row r="4" spans="1:7" x14ac:dyDescent="0.3">
      <c r="A4" t="s">
        <v>200</v>
      </c>
      <c r="B4" s="5">
        <v>1159</v>
      </c>
      <c r="C4">
        <v>2</v>
      </c>
    </row>
    <row r="5" spans="1:7" x14ac:dyDescent="0.3">
      <c r="A5" t="s">
        <v>201</v>
      </c>
      <c r="B5">
        <v>350</v>
      </c>
      <c r="C5">
        <v>0</v>
      </c>
    </row>
    <row r="6" spans="1:7" x14ac:dyDescent="0.3">
      <c r="A6" t="s">
        <v>202</v>
      </c>
      <c r="B6" s="5">
        <v>1509</v>
      </c>
      <c r="C6">
        <v>2</v>
      </c>
    </row>
    <row r="7" spans="1:7" x14ac:dyDescent="0.3">
      <c r="A7" t="s">
        <v>203</v>
      </c>
      <c r="B7" s="5">
        <v>1482</v>
      </c>
      <c r="C7">
        <v>0</v>
      </c>
    </row>
    <row r="8" spans="1:7" x14ac:dyDescent="0.3">
      <c r="A8" t="s">
        <v>204</v>
      </c>
      <c r="B8" s="5">
        <v>22</v>
      </c>
      <c r="C8">
        <v>0</v>
      </c>
    </row>
    <row r="9" spans="1:7" x14ac:dyDescent="0.3">
      <c r="A9" t="s">
        <v>1032</v>
      </c>
      <c r="B9">
        <v>5</v>
      </c>
      <c r="C9">
        <v>2</v>
      </c>
    </row>
    <row r="10" spans="1:7" x14ac:dyDescent="0.3">
      <c r="A10" t="s">
        <v>817</v>
      </c>
      <c r="B10">
        <v>0</v>
      </c>
      <c r="C10">
        <v>0</v>
      </c>
    </row>
    <row r="12" spans="1:7" x14ac:dyDescent="0.3">
      <c r="A12" t="s">
        <v>1098</v>
      </c>
    </row>
    <row r="13" spans="1:7" x14ac:dyDescent="0.3">
      <c r="A13" t="s">
        <v>0</v>
      </c>
      <c r="B13" s="49" t="s">
        <v>818</v>
      </c>
      <c r="C13" t="s">
        <v>819</v>
      </c>
      <c r="D13" t="s">
        <v>820</v>
      </c>
      <c r="E13" t="s">
        <v>207</v>
      </c>
      <c r="F13" t="s">
        <v>517</v>
      </c>
      <c r="G13" t="str">
        <f>B37</f>
        <v>Total cases</v>
      </c>
    </row>
    <row r="14" spans="1:7" x14ac:dyDescent="0.3">
      <c r="A14" t="s">
        <v>1</v>
      </c>
      <c r="B14" s="49">
        <v>0</v>
      </c>
      <c r="C14">
        <v>178</v>
      </c>
      <c r="E14">
        <v>178</v>
      </c>
      <c r="F14">
        <v>0</v>
      </c>
    </row>
    <row r="15" spans="1:7" x14ac:dyDescent="0.3">
      <c r="A15" t="s">
        <v>2</v>
      </c>
      <c r="B15" s="49">
        <v>0</v>
      </c>
      <c r="C15">
        <v>47</v>
      </c>
      <c r="E15">
        <v>47</v>
      </c>
      <c r="F15">
        <v>0</v>
      </c>
    </row>
    <row r="16" spans="1:7" x14ac:dyDescent="0.3">
      <c r="A16" t="s">
        <v>3</v>
      </c>
      <c r="B16" s="49">
        <v>0</v>
      </c>
      <c r="C16">
        <v>152</v>
      </c>
      <c r="D16">
        <v>12</v>
      </c>
      <c r="E16">
        <v>164</v>
      </c>
      <c r="F16">
        <v>0</v>
      </c>
    </row>
    <row r="17" spans="1:7" x14ac:dyDescent="0.3">
      <c r="A17" t="s">
        <v>4</v>
      </c>
      <c r="B17" s="49">
        <v>0</v>
      </c>
      <c r="C17">
        <v>93</v>
      </c>
      <c r="D17">
        <v>2</v>
      </c>
      <c r="E17">
        <v>95</v>
      </c>
      <c r="F17">
        <v>0</v>
      </c>
    </row>
    <row r="18" spans="1:7" x14ac:dyDescent="0.3">
      <c r="A18" t="s">
        <v>5</v>
      </c>
      <c r="B18" s="49">
        <v>3</v>
      </c>
      <c r="C18">
        <v>131</v>
      </c>
      <c r="E18">
        <v>134</v>
      </c>
      <c r="F18">
        <v>2</v>
      </c>
      <c r="G18">
        <f>B39</f>
        <v>0</v>
      </c>
    </row>
    <row r="19" spans="1:7" x14ac:dyDescent="0.3">
      <c r="A19" t="s">
        <v>6</v>
      </c>
      <c r="B19" s="49">
        <v>0</v>
      </c>
      <c r="C19">
        <v>44</v>
      </c>
      <c r="E19">
        <v>44</v>
      </c>
      <c r="F19">
        <v>0</v>
      </c>
    </row>
    <row r="20" spans="1:7" x14ac:dyDescent="0.3">
      <c r="A20" t="s">
        <v>12</v>
      </c>
      <c r="B20" s="49">
        <v>2</v>
      </c>
      <c r="C20">
        <v>20</v>
      </c>
      <c r="E20">
        <v>22</v>
      </c>
      <c r="F20">
        <v>0</v>
      </c>
    </row>
    <row r="21" spans="1:7" x14ac:dyDescent="0.3">
      <c r="A21" t="s">
        <v>16</v>
      </c>
      <c r="B21" s="49">
        <v>0</v>
      </c>
      <c r="C21">
        <v>16</v>
      </c>
      <c r="E21">
        <v>16</v>
      </c>
      <c r="F21">
        <v>0</v>
      </c>
    </row>
    <row r="22" spans="1:7" x14ac:dyDescent="0.3">
      <c r="A22" t="s">
        <v>821</v>
      </c>
      <c r="B22" s="49">
        <v>0</v>
      </c>
      <c r="C22">
        <v>32</v>
      </c>
      <c r="E22">
        <v>32</v>
      </c>
      <c r="F22">
        <v>0</v>
      </c>
    </row>
    <row r="23" spans="1:7" x14ac:dyDescent="0.3">
      <c r="A23" t="s">
        <v>7</v>
      </c>
      <c r="B23" s="49">
        <v>0</v>
      </c>
      <c r="C23">
        <v>49</v>
      </c>
      <c r="E23">
        <v>49</v>
      </c>
      <c r="F23">
        <v>0</v>
      </c>
    </row>
    <row r="24" spans="1:7" x14ac:dyDescent="0.3">
      <c r="A24" t="s">
        <v>17</v>
      </c>
      <c r="B24" s="49">
        <v>0</v>
      </c>
      <c r="C24">
        <v>28</v>
      </c>
      <c r="E24">
        <v>28</v>
      </c>
      <c r="F24">
        <v>0</v>
      </c>
    </row>
    <row r="25" spans="1:7" x14ac:dyDescent="0.3">
      <c r="A25" t="s">
        <v>8</v>
      </c>
      <c r="B25" s="49">
        <v>0</v>
      </c>
      <c r="C25">
        <v>17</v>
      </c>
      <c r="E25">
        <v>17</v>
      </c>
      <c r="F25">
        <v>0</v>
      </c>
    </row>
    <row r="26" spans="1:7" x14ac:dyDescent="0.3">
      <c r="A26" t="s">
        <v>9</v>
      </c>
      <c r="B26" s="49">
        <v>0</v>
      </c>
      <c r="C26">
        <v>214</v>
      </c>
      <c r="D26">
        <v>2</v>
      </c>
      <c r="E26">
        <v>216</v>
      </c>
      <c r="F26">
        <v>0</v>
      </c>
    </row>
    <row r="27" spans="1:7" x14ac:dyDescent="0.3">
      <c r="A27" t="s">
        <v>206</v>
      </c>
      <c r="B27" s="49">
        <v>0</v>
      </c>
      <c r="C27">
        <v>4</v>
      </c>
      <c r="E27">
        <v>4</v>
      </c>
      <c r="F27">
        <v>0</v>
      </c>
    </row>
    <row r="28" spans="1:7" x14ac:dyDescent="0.3">
      <c r="A28" t="s">
        <v>14</v>
      </c>
      <c r="B28" s="49">
        <v>0</v>
      </c>
      <c r="C28">
        <v>16</v>
      </c>
      <c r="E28">
        <v>16</v>
      </c>
      <c r="F28">
        <v>0</v>
      </c>
    </row>
    <row r="29" spans="1:7" x14ac:dyDescent="0.3">
      <c r="A29" t="s">
        <v>10</v>
      </c>
      <c r="B29" s="49">
        <v>0</v>
      </c>
      <c r="C29">
        <v>187</v>
      </c>
      <c r="D29">
        <v>1</v>
      </c>
      <c r="E29">
        <v>188</v>
      </c>
      <c r="F29">
        <v>0</v>
      </c>
    </row>
    <row r="30" spans="1:7" x14ac:dyDescent="0.3">
      <c r="A30" t="s">
        <v>20</v>
      </c>
      <c r="B30" s="49">
        <v>0</v>
      </c>
      <c r="C30">
        <v>8</v>
      </c>
      <c r="E30">
        <v>8</v>
      </c>
      <c r="F30">
        <v>0</v>
      </c>
    </row>
    <row r="31" spans="1:7" x14ac:dyDescent="0.3">
      <c r="A31" t="s">
        <v>815</v>
      </c>
      <c r="B31" s="49">
        <v>0</v>
      </c>
      <c r="C31">
        <v>233</v>
      </c>
      <c r="D31">
        <v>4</v>
      </c>
      <c r="E31">
        <v>237</v>
      </c>
      <c r="F31">
        <v>0</v>
      </c>
    </row>
    <row r="32" spans="1:7" x14ac:dyDescent="0.3">
      <c r="A32" t="s">
        <v>19</v>
      </c>
      <c r="B32" s="49">
        <v>0</v>
      </c>
      <c r="C32">
        <v>4</v>
      </c>
      <c r="D32">
        <v>1</v>
      </c>
      <c r="E32">
        <v>5</v>
      </c>
      <c r="F32">
        <v>0</v>
      </c>
    </row>
    <row r="33" spans="1:11" x14ac:dyDescent="0.3">
      <c r="A33" t="s">
        <v>15</v>
      </c>
      <c r="B33" s="5">
        <v>0</v>
      </c>
      <c r="C33" s="5">
        <v>9</v>
      </c>
      <c r="E33" s="5">
        <v>9</v>
      </c>
      <c r="F33">
        <v>0</v>
      </c>
    </row>
    <row r="34" spans="1:11" x14ac:dyDescent="0.3">
      <c r="A34" t="s">
        <v>207</v>
      </c>
      <c r="B34">
        <v>5</v>
      </c>
      <c r="C34" s="5">
        <v>1482</v>
      </c>
      <c r="D34">
        <v>22</v>
      </c>
      <c r="E34" s="5">
        <v>1509</v>
      </c>
      <c r="F34">
        <v>2</v>
      </c>
      <c r="G34">
        <f>SUM(G14:G33)</f>
        <v>0</v>
      </c>
    </row>
    <row r="36" spans="1:11" x14ac:dyDescent="0.3">
      <c r="A36" t="s">
        <v>1099</v>
      </c>
    </row>
    <row r="37" spans="1:11" x14ac:dyDescent="0.3">
      <c r="A37" t="s">
        <v>0</v>
      </c>
      <c r="B37" t="s">
        <v>205</v>
      </c>
    </row>
    <row r="38" spans="1:11" x14ac:dyDescent="0.3">
      <c r="A38" t="s">
        <v>207</v>
      </c>
      <c r="B38">
        <v>0</v>
      </c>
    </row>
    <row r="39" spans="1:11" x14ac:dyDescent="0.3">
      <c r="I39" t="s">
        <v>669</v>
      </c>
      <c r="K39" t="s">
        <v>668</v>
      </c>
    </row>
    <row r="40" spans="1:11" x14ac:dyDescent="0.3">
      <c r="A40" t="s">
        <v>1100</v>
      </c>
      <c r="H40" s="45"/>
    </row>
    <row r="41" spans="1:11" x14ac:dyDescent="0.3">
      <c r="A41" t="s">
        <v>990</v>
      </c>
      <c r="B41" t="s">
        <v>818</v>
      </c>
      <c r="C41" t="s">
        <v>819</v>
      </c>
      <c r="D41" t="s">
        <v>820</v>
      </c>
      <c r="E41" t="s">
        <v>207</v>
      </c>
    </row>
    <row r="42" spans="1:11" x14ac:dyDescent="0.3">
      <c r="A42" t="s">
        <v>991</v>
      </c>
      <c r="B42">
        <v>0</v>
      </c>
      <c r="C42">
        <v>36</v>
      </c>
      <c r="E42">
        <v>36</v>
      </c>
    </row>
    <row r="43" spans="1:11" x14ac:dyDescent="0.3">
      <c r="A43" t="s">
        <v>992</v>
      </c>
      <c r="B43">
        <v>0</v>
      </c>
      <c r="C43">
        <v>121</v>
      </c>
      <c r="E43">
        <v>121</v>
      </c>
    </row>
    <row r="44" spans="1:11" x14ac:dyDescent="0.3">
      <c r="A44" t="s">
        <v>993</v>
      </c>
      <c r="B44">
        <v>2</v>
      </c>
      <c r="C44">
        <v>358</v>
      </c>
      <c r="E44">
        <v>360</v>
      </c>
    </row>
    <row r="45" spans="1:11" x14ac:dyDescent="0.3">
      <c r="A45" t="s">
        <v>994</v>
      </c>
      <c r="B45">
        <v>1</v>
      </c>
      <c r="C45">
        <v>229</v>
      </c>
      <c r="E45">
        <v>230</v>
      </c>
    </row>
    <row r="46" spans="1:11" x14ac:dyDescent="0.3">
      <c r="A46" t="s">
        <v>995</v>
      </c>
      <c r="B46" s="5">
        <v>1</v>
      </c>
      <c r="C46">
        <v>220</v>
      </c>
      <c r="E46">
        <v>221</v>
      </c>
    </row>
    <row r="47" spans="1:11" x14ac:dyDescent="0.3">
      <c r="A47" t="s">
        <v>996</v>
      </c>
      <c r="B47" s="9">
        <v>0</v>
      </c>
      <c r="C47">
        <v>246</v>
      </c>
      <c r="E47">
        <v>246</v>
      </c>
      <c r="G47">
        <f t="shared" ref="G47:G52" si="0">VALUE(B47)*100</f>
        <v>0</v>
      </c>
    </row>
    <row r="48" spans="1:11" x14ac:dyDescent="0.3">
      <c r="A48" t="s">
        <v>997</v>
      </c>
      <c r="B48" s="9">
        <v>1</v>
      </c>
      <c r="C48">
        <v>175</v>
      </c>
      <c r="D48">
        <v>3</v>
      </c>
      <c r="E48">
        <v>179</v>
      </c>
      <c r="G48">
        <f t="shared" si="0"/>
        <v>100</v>
      </c>
    </row>
    <row r="49" spans="1:7" x14ac:dyDescent="0.3">
      <c r="A49" t="s">
        <v>1029</v>
      </c>
      <c r="B49" s="9">
        <v>0</v>
      </c>
      <c r="C49">
        <v>70</v>
      </c>
      <c r="D49">
        <v>7</v>
      </c>
      <c r="E49">
        <v>77</v>
      </c>
      <c r="G49">
        <f t="shared" si="0"/>
        <v>0</v>
      </c>
    </row>
    <row r="50" spans="1:7" x14ac:dyDescent="0.3">
      <c r="A50" t="s">
        <v>1030</v>
      </c>
      <c r="B50" s="9">
        <v>0</v>
      </c>
      <c r="C50">
        <v>23</v>
      </c>
      <c r="D50">
        <v>7</v>
      </c>
      <c r="E50">
        <v>30</v>
      </c>
      <c r="G50">
        <f t="shared" si="0"/>
        <v>0</v>
      </c>
    </row>
    <row r="51" spans="1:7" x14ac:dyDescent="0.3">
      <c r="A51" t="s">
        <v>1031</v>
      </c>
      <c r="B51" s="9">
        <v>0</v>
      </c>
      <c r="C51">
        <v>4</v>
      </c>
      <c r="D51">
        <v>5</v>
      </c>
      <c r="E51">
        <v>9</v>
      </c>
      <c r="G51">
        <f t="shared" si="0"/>
        <v>0</v>
      </c>
    </row>
    <row r="52" spans="1:7" x14ac:dyDescent="0.3">
      <c r="A52" t="s">
        <v>207</v>
      </c>
      <c r="B52" s="9">
        <v>5</v>
      </c>
      <c r="C52">
        <v>1482</v>
      </c>
      <c r="D52">
        <v>22</v>
      </c>
      <c r="E52">
        <v>1509</v>
      </c>
      <c r="G52">
        <f t="shared" si="0"/>
        <v>500</v>
      </c>
    </row>
    <row r="53" spans="1:7" x14ac:dyDescent="0.3">
      <c r="B53" s="9"/>
      <c r="G53">
        <f>SUM(G49:G52)</f>
        <v>500</v>
      </c>
    </row>
    <row r="54" spans="1:7" x14ac:dyDescent="0.3">
      <c r="A54" t="s">
        <v>1006</v>
      </c>
      <c r="B54" s="9"/>
      <c r="C54" s="9"/>
      <c r="D54" s="9"/>
      <c r="E54" s="9"/>
      <c r="F54" s="46"/>
    </row>
    <row r="55" spans="1:7" x14ac:dyDescent="0.3">
      <c r="A55" t="s">
        <v>1007</v>
      </c>
      <c r="B55" s="5" t="s">
        <v>208</v>
      </c>
      <c r="C55" s="46"/>
      <c r="D55" s="46"/>
      <c r="E55" s="46"/>
      <c r="F55" s="46"/>
    </row>
    <row r="56" spans="1:7" x14ac:dyDescent="0.3">
      <c r="A56" t="s">
        <v>1008</v>
      </c>
      <c r="B56" s="79">
        <v>0.38</v>
      </c>
      <c r="C56" s="46"/>
      <c r="D56" s="46"/>
      <c r="E56" s="46"/>
      <c r="F56" s="46"/>
    </row>
    <row r="57" spans="1:7" x14ac:dyDescent="0.3">
      <c r="A57" t="s">
        <v>1009</v>
      </c>
      <c r="B57" s="79">
        <v>0.3</v>
      </c>
      <c r="C57" s="46"/>
      <c r="D57" s="81"/>
      <c r="E57" s="46"/>
      <c r="F57" s="46"/>
    </row>
    <row r="58" spans="1:7" x14ac:dyDescent="0.3">
      <c r="A58" t="s">
        <v>1010</v>
      </c>
      <c r="B58" s="79">
        <v>0.26</v>
      </c>
      <c r="C58" s="46"/>
      <c r="D58" s="81"/>
      <c r="E58" s="46"/>
      <c r="F58" s="46"/>
    </row>
    <row r="59" spans="1:7" x14ac:dyDescent="0.3">
      <c r="A59" t="s">
        <v>1011</v>
      </c>
      <c r="B59" s="79">
        <v>0.06</v>
      </c>
      <c r="C59" s="46"/>
      <c r="D59" s="81"/>
      <c r="E59" s="46"/>
      <c r="F59" s="46"/>
    </row>
    <row r="60" spans="1:7" x14ac:dyDescent="0.3">
      <c r="A60" t="s">
        <v>211</v>
      </c>
      <c r="B60" s="79">
        <v>0</v>
      </c>
      <c r="C60" s="46"/>
      <c r="D60" s="81"/>
      <c r="E60" s="46"/>
      <c r="F60" s="46"/>
    </row>
    <row r="61" spans="1:7" x14ac:dyDescent="0.3">
      <c r="A61" s="7"/>
      <c r="B61" s="83"/>
    </row>
    <row r="62" spans="1:7" x14ac:dyDescent="0.3">
      <c r="A62" s="7" t="s">
        <v>1101</v>
      </c>
      <c r="B62" s="83"/>
      <c r="C62" s="8"/>
      <c r="D62" s="8"/>
      <c r="E62" s="8"/>
      <c r="F62" s="8"/>
    </row>
    <row r="63" spans="1:7" x14ac:dyDescent="0.3">
      <c r="A63" s="7"/>
      <c r="B63" s="8" t="s">
        <v>212</v>
      </c>
      <c r="C63" s="46" t="s">
        <v>520</v>
      </c>
    </row>
    <row r="64" spans="1:7" x14ac:dyDescent="0.3">
      <c r="A64" s="7" t="s">
        <v>548</v>
      </c>
      <c r="B64" s="58">
        <v>7707</v>
      </c>
      <c r="C64" s="46">
        <v>44001</v>
      </c>
      <c r="D64" s="8"/>
      <c r="E64" s="8"/>
      <c r="F64" s="8"/>
    </row>
    <row r="65" spans="1:6" x14ac:dyDescent="0.3">
      <c r="A65" s="7" t="s">
        <v>213</v>
      </c>
      <c r="B65" s="58">
        <v>3908</v>
      </c>
      <c r="C65" s="46" t="s">
        <v>1102</v>
      </c>
      <c r="D65" s="8"/>
      <c r="E65" s="8"/>
      <c r="F65" s="8"/>
    </row>
    <row r="66" spans="1:6" x14ac:dyDescent="0.3">
      <c r="A66" s="7" t="s">
        <v>521</v>
      </c>
      <c r="B66" s="58">
        <v>335167</v>
      </c>
      <c r="C66" s="46" t="s">
        <v>1103</v>
      </c>
      <c r="D66" s="8"/>
      <c r="E66" s="8"/>
      <c r="F66" s="8"/>
    </row>
    <row r="67" spans="1:6" x14ac:dyDescent="0.3">
      <c r="A67" s="7" t="s">
        <v>1050</v>
      </c>
      <c r="B67" s="58">
        <v>263347</v>
      </c>
      <c r="C67" s="46">
        <v>44001</v>
      </c>
      <c r="D67" s="8"/>
      <c r="E67" s="8"/>
      <c r="F67" s="8"/>
    </row>
    <row r="68" spans="1:6" x14ac:dyDescent="0.3">
      <c r="A68" s="7"/>
      <c r="B68" s="58"/>
      <c r="C68" s="46"/>
      <c r="D68" s="8"/>
      <c r="E68" s="8"/>
      <c r="F68" s="8"/>
    </row>
    <row r="69" spans="1:6" x14ac:dyDescent="0.3">
      <c r="A69" s="7" t="s">
        <v>651</v>
      </c>
      <c r="B69" s="58"/>
      <c r="C69" s="46"/>
      <c r="D69" s="8"/>
      <c r="E69" s="8"/>
      <c r="F69" s="8"/>
    </row>
    <row r="70" spans="1:6" x14ac:dyDescent="0.3">
      <c r="A70" s="7" t="s">
        <v>520</v>
      </c>
      <c r="B70" s="58" t="s">
        <v>683</v>
      </c>
      <c r="C70" s="46" t="s">
        <v>684</v>
      </c>
      <c r="D70" s="8"/>
      <c r="E70" s="8"/>
      <c r="F70" s="8"/>
    </row>
    <row r="71" spans="1:6" x14ac:dyDescent="0.3">
      <c r="A71" s="7" t="s">
        <v>1051</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A156" s="7">
        <v>43983</v>
      </c>
      <c r="B156" s="8">
        <v>654</v>
      </c>
      <c r="C156">
        <v>282263</v>
      </c>
    </row>
    <row r="157" spans="1:3" x14ac:dyDescent="0.3">
      <c r="A157" s="7">
        <v>43984</v>
      </c>
      <c r="B157" s="8">
        <v>1262</v>
      </c>
      <c r="C157">
        <v>283525</v>
      </c>
    </row>
    <row r="158" spans="1:3" x14ac:dyDescent="0.3">
      <c r="A158" s="7">
        <v>43985</v>
      </c>
      <c r="B158" s="8">
        <v>2649</v>
      </c>
      <c r="C158">
        <v>286174</v>
      </c>
    </row>
    <row r="159" spans="1:3" x14ac:dyDescent="0.3">
      <c r="A159" s="7">
        <v>43986</v>
      </c>
      <c r="B159" s="8">
        <v>2813</v>
      </c>
      <c r="C159">
        <v>288987</v>
      </c>
    </row>
    <row r="160" spans="1:3" x14ac:dyDescent="0.3">
      <c r="A160" s="7">
        <v>43987</v>
      </c>
      <c r="B160" s="8">
        <v>3007</v>
      </c>
      <c r="C160">
        <v>291994</v>
      </c>
    </row>
    <row r="161" spans="1:3" x14ac:dyDescent="0.3">
      <c r="A161" s="7">
        <v>43988</v>
      </c>
      <c r="B161" s="8">
        <v>2054</v>
      </c>
      <c r="C161">
        <v>294048</v>
      </c>
    </row>
    <row r="162" spans="1:3" x14ac:dyDescent="0.3">
      <c r="A162" s="7">
        <v>43989</v>
      </c>
      <c r="B162" s="8">
        <v>800</v>
      </c>
      <c r="C162">
        <v>294848</v>
      </c>
    </row>
    <row r="163" spans="1:3" x14ac:dyDescent="0.3">
      <c r="A163" s="7">
        <v>43990</v>
      </c>
      <c r="B163" s="8">
        <v>1053</v>
      </c>
      <c r="C163">
        <v>295901</v>
      </c>
    </row>
    <row r="164" spans="1:3" x14ac:dyDescent="0.3">
      <c r="A164" s="7">
        <v>43991</v>
      </c>
      <c r="B164" s="8">
        <v>2631</v>
      </c>
      <c r="C164">
        <v>298532</v>
      </c>
    </row>
    <row r="165" spans="1:3" x14ac:dyDescent="0.3">
      <c r="A165" s="7">
        <v>43992</v>
      </c>
      <c r="B165" s="8">
        <v>3350</v>
      </c>
      <c r="C165">
        <v>301882</v>
      </c>
    </row>
    <row r="166" spans="1:3" x14ac:dyDescent="0.3">
      <c r="A166" s="7">
        <v>43993</v>
      </c>
      <c r="B166" s="8">
        <v>2950</v>
      </c>
      <c r="C166">
        <v>304832</v>
      </c>
    </row>
    <row r="167" spans="1:3" x14ac:dyDescent="0.3">
      <c r="A167" s="7">
        <v>43994</v>
      </c>
      <c r="B167" s="8">
        <v>2978</v>
      </c>
      <c r="C167">
        <v>307810</v>
      </c>
    </row>
    <row r="168" spans="1:3" x14ac:dyDescent="0.3">
      <c r="A168" s="7">
        <v>43995</v>
      </c>
      <c r="B168" s="8">
        <v>2487</v>
      </c>
      <c r="C168">
        <v>310297</v>
      </c>
    </row>
    <row r="169" spans="1:3" x14ac:dyDescent="0.3">
      <c r="A169" s="7">
        <v>43996</v>
      </c>
      <c r="B169" s="8">
        <v>824</v>
      </c>
      <c r="C169">
        <v>311121</v>
      </c>
    </row>
    <row r="170" spans="1:3" x14ac:dyDescent="0.3">
      <c r="A170" s="7">
        <v>43997</v>
      </c>
      <c r="B170" s="8">
        <v>1527</v>
      </c>
      <c r="C170">
        <v>312648</v>
      </c>
    </row>
    <row r="171" spans="1:3" x14ac:dyDescent="0.3">
      <c r="A171" s="7">
        <v>43998</v>
      </c>
      <c r="B171" s="8">
        <v>3603</v>
      </c>
      <c r="C171">
        <v>316251</v>
      </c>
    </row>
    <row r="172" spans="1:3" x14ac:dyDescent="0.3">
      <c r="A172" s="7">
        <v>43999</v>
      </c>
      <c r="B172" s="8">
        <v>4936</v>
      </c>
      <c r="C172">
        <v>321187</v>
      </c>
    </row>
    <row r="173" spans="1:3" x14ac:dyDescent="0.3">
      <c r="A173" s="7">
        <v>44000</v>
      </c>
      <c r="B173" s="8">
        <v>6273</v>
      </c>
      <c r="C173">
        <v>327460</v>
      </c>
    </row>
    <row r="174" spans="1:3" x14ac:dyDescent="0.3">
      <c r="A174" s="7">
        <v>44001</v>
      </c>
      <c r="B174" s="8">
        <v>7707</v>
      </c>
      <c r="C174">
        <v>335167</v>
      </c>
    </row>
    <row r="175" spans="1:3" x14ac:dyDescent="0.3">
      <c r="B175" s="8"/>
    </row>
    <row r="176" spans="1:3" x14ac:dyDescent="0.3">
      <c r="A176" t="s">
        <v>214</v>
      </c>
      <c r="B176" s="8" t="s">
        <v>215</v>
      </c>
    </row>
    <row r="177" spans="1:2" x14ac:dyDescent="0.3">
      <c r="A177" t="s">
        <v>199</v>
      </c>
      <c r="B177" s="8" t="s">
        <v>216</v>
      </c>
    </row>
    <row r="178" spans="1:2" x14ac:dyDescent="0.3">
      <c r="A178" t="s">
        <v>217</v>
      </c>
      <c r="B178" s="8" t="s">
        <v>218</v>
      </c>
    </row>
    <row r="179" spans="1:2" x14ac:dyDescent="0.3">
      <c r="A179" t="s">
        <v>219</v>
      </c>
      <c r="B179"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5"/>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21</v>
      </c>
      <c r="B1" s="6" t="s">
        <v>22</v>
      </c>
    </row>
    <row r="3" spans="1:2" x14ac:dyDescent="0.3">
      <c r="A3" t="s">
        <v>23</v>
      </c>
    </row>
    <row r="5" spans="1:2" x14ac:dyDescent="0.3">
      <c r="A5" t="s">
        <v>24</v>
      </c>
    </row>
    <row r="6" spans="1:2" x14ac:dyDescent="0.3">
      <c r="A6" t="s">
        <v>25</v>
      </c>
    </row>
    <row r="8" spans="1:2" x14ac:dyDescent="0.3">
      <c r="A8" t="s">
        <v>652</v>
      </c>
    </row>
    <row r="10" spans="1:2" x14ac:dyDescent="0.3">
      <c r="A10" t="s">
        <v>665</v>
      </c>
    </row>
    <row r="12" spans="1:2" x14ac:dyDescent="0.3">
      <c r="A12" t="s">
        <v>26</v>
      </c>
    </row>
    <row r="14" spans="1:2" x14ac:dyDescent="0.3">
      <c r="A14" t="s">
        <v>27</v>
      </c>
    </row>
    <row r="15" spans="1:2" x14ac:dyDescent="0.3">
      <c r="A15" t="s">
        <v>28</v>
      </c>
    </row>
    <row r="16" spans="1:2"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1093</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523</v>
      </c>
      <c r="B177" t="s">
        <v>654</v>
      </c>
      <c r="C177" t="s">
        <v>524</v>
      </c>
    </row>
    <row r="178" spans="1:3" x14ac:dyDescent="0.3">
      <c r="C178" t="s">
        <v>527</v>
      </c>
    </row>
    <row r="179" spans="1:3" x14ac:dyDescent="0.3">
      <c r="C179" t="s">
        <v>824</v>
      </c>
    </row>
    <row r="180" spans="1:3" x14ac:dyDescent="0.3">
      <c r="C180" t="s">
        <v>529</v>
      </c>
    </row>
    <row r="181" spans="1:3" x14ac:dyDescent="0.3">
      <c r="C181" t="s">
        <v>530</v>
      </c>
    </row>
    <row r="182" spans="1:3" x14ac:dyDescent="0.3">
      <c r="C182" t="s">
        <v>969</v>
      </c>
    </row>
    <row r="183" spans="1:3" x14ac:dyDescent="0.3">
      <c r="C183" t="s">
        <v>970</v>
      </c>
    </row>
    <row r="184" spans="1:3" x14ac:dyDescent="0.3">
      <c r="C184" t="s">
        <v>971</v>
      </c>
    </row>
    <row r="185" spans="1:3" x14ac:dyDescent="0.3">
      <c r="C185" t="s">
        <v>972</v>
      </c>
    </row>
    <row r="186" spans="1:3" x14ac:dyDescent="0.3">
      <c r="C186" t="s">
        <v>973</v>
      </c>
    </row>
    <row r="187" spans="1:3" x14ac:dyDescent="0.3">
      <c r="C187" t="s">
        <v>974</v>
      </c>
    </row>
    <row r="188" spans="1:3" x14ac:dyDescent="0.3">
      <c r="C188" t="s">
        <v>975</v>
      </c>
    </row>
    <row r="189" spans="1:3" x14ac:dyDescent="0.3">
      <c r="C189" t="s">
        <v>976</v>
      </c>
    </row>
    <row r="190" spans="1:3" x14ac:dyDescent="0.3">
      <c r="C190" t="s">
        <v>977</v>
      </c>
    </row>
    <row r="191" spans="1:3" x14ac:dyDescent="0.3">
      <c r="C191" t="s">
        <v>978</v>
      </c>
    </row>
    <row r="192" spans="1:3" x14ac:dyDescent="0.3">
      <c r="C192" t="s">
        <v>979</v>
      </c>
    </row>
    <row r="194" spans="2:3" x14ac:dyDescent="0.3">
      <c r="B194" t="s">
        <v>655</v>
      </c>
      <c r="C194" t="s">
        <v>525</v>
      </c>
    </row>
    <row r="195" spans="2:3" x14ac:dyDescent="0.3">
      <c r="C195" t="s">
        <v>526</v>
      </c>
    </row>
    <row r="196" spans="2:3" x14ac:dyDescent="0.3">
      <c r="C196" t="s">
        <v>1042</v>
      </c>
    </row>
    <row r="197" spans="2:3" x14ac:dyDescent="0.3">
      <c r="C197" t="s">
        <v>656</v>
      </c>
    </row>
    <row r="198" spans="2:3" x14ac:dyDescent="0.3">
      <c r="C198" t="s">
        <v>657</v>
      </c>
    </row>
    <row r="199" spans="2:3" x14ac:dyDescent="0.3">
      <c r="C199" t="s">
        <v>1043</v>
      </c>
    </row>
    <row r="200" spans="2:3" x14ac:dyDescent="0.3">
      <c r="C200" t="s">
        <v>531</v>
      </c>
    </row>
    <row r="201" spans="2:3" x14ac:dyDescent="0.3">
      <c r="C201" t="s">
        <v>1096</v>
      </c>
    </row>
    <row r="203" spans="2:3" x14ac:dyDescent="0.3">
      <c r="B203" t="s">
        <v>658</v>
      </c>
      <c r="C203" t="s">
        <v>659</v>
      </c>
    </row>
    <row r="204" spans="2:3" x14ac:dyDescent="0.3">
      <c r="C204" t="s">
        <v>983</v>
      </c>
    </row>
    <row r="205" spans="2:3" x14ac:dyDescent="0.3">
      <c r="C205" t="s">
        <v>984</v>
      </c>
    </row>
    <row r="206" spans="2:3" x14ac:dyDescent="0.3">
      <c r="C206" t="s">
        <v>985</v>
      </c>
    </row>
    <row r="207" spans="2:3" x14ac:dyDescent="0.3">
      <c r="C207" t="s">
        <v>532</v>
      </c>
    </row>
    <row r="209" spans="1:3" x14ac:dyDescent="0.3">
      <c r="B209" t="s">
        <v>660</v>
      </c>
      <c r="C209" t="s">
        <v>825</v>
      </c>
    </row>
    <row r="210" spans="1:3" x14ac:dyDescent="0.3">
      <c r="C210" t="s">
        <v>965</v>
      </c>
    </row>
    <row r="211" spans="1:3" x14ac:dyDescent="0.3">
      <c r="C211" t="s">
        <v>528</v>
      </c>
    </row>
    <row r="213" spans="1:3" x14ac:dyDescent="0.3">
      <c r="A213" t="s">
        <v>533</v>
      </c>
      <c r="B213" t="s">
        <v>121</v>
      </c>
    </row>
    <row r="214" spans="1:3" x14ac:dyDescent="0.3">
      <c r="B214" t="s">
        <v>198</v>
      </c>
    </row>
    <row r="215" spans="1:3" x14ac:dyDescent="0.3">
      <c r="B215" t="s">
        <v>1034</v>
      </c>
    </row>
    <row r="217" spans="1:3" x14ac:dyDescent="0.3">
      <c r="A217" t="s">
        <v>534</v>
      </c>
      <c r="B217" t="s">
        <v>826</v>
      </c>
    </row>
    <row r="218" spans="1:3" x14ac:dyDescent="0.3">
      <c r="B218" t="s">
        <v>535</v>
      </c>
    </row>
    <row r="219" spans="1:3" x14ac:dyDescent="0.3">
      <c r="B219" t="s">
        <v>536</v>
      </c>
    </row>
    <row r="220" spans="1:3" x14ac:dyDescent="0.3">
      <c r="B220" t="s">
        <v>1036</v>
      </c>
    </row>
    <row r="221" spans="1:3" x14ac:dyDescent="0.3">
      <c r="B221" t="s">
        <v>980</v>
      </c>
    </row>
    <row r="222" spans="1:3" x14ac:dyDescent="0.3">
      <c r="B222" t="s">
        <v>1035</v>
      </c>
    </row>
    <row r="223" spans="1:3" x14ac:dyDescent="0.3">
      <c r="B223" t="s">
        <v>827</v>
      </c>
    </row>
    <row r="224" spans="1:3" x14ac:dyDescent="0.3">
      <c r="B224" t="s">
        <v>1044</v>
      </c>
    </row>
    <row r="225" spans="1:2" x14ac:dyDescent="0.3">
      <c r="B225" t="s">
        <v>1023</v>
      </c>
    </row>
    <row r="226" spans="1:2" x14ac:dyDescent="0.3">
      <c r="B226" t="s">
        <v>1037</v>
      </c>
    </row>
    <row r="227" spans="1:2" x14ac:dyDescent="0.3">
      <c r="B227" t="s">
        <v>1045</v>
      </c>
    </row>
    <row r="228" spans="1:2" x14ac:dyDescent="0.3">
      <c r="B228" t="s">
        <v>828</v>
      </c>
    </row>
    <row r="229" spans="1:2" x14ac:dyDescent="0.3">
      <c r="B229" t="s">
        <v>986</v>
      </c>
    </row>
    <row r="230" spans="1:2" x14ac:dyDescent="0.3">
      <c r="B230" t="s">
        <v>1025</v>
      </c>
    </row>
    <row r="231" spans="1:2" x14ac:dyDescent="0.3">
      <c r="B231" t="s">
        <v>1012</v>
      </c>
    </row>
    <row r="232" spans="1:2" x14ac:dyDescent="0.3">
      <c r="B232" t="s">
        <v>1046</v>
      </c>
    </row>
    <row r="233" spans="1:2" x14ac:dyDescent="0.3">
      <c r="B233" t="s">
        <v>661</v>
      </c>
    </row>
    <row r="234" spans="1:2" x14ac:dyDescent="0.3">
      <c r="B234" t="s">
        <v>1055</v>
      </c>
    </row>
    <row r="236" spans="1:2" x14ac:dyDescent="0.3">
      <c r="A236" t="s">
        <v>662</v>
      </c>
      <c r="B236" t="s">
        <v>663</v>
      </c>
    </row>
    <row r="237" spans="1:2" x14ac:dyDescent="0.3">
      <c r="B237" t="s">
        <v>664</v>
      </c>
    </row>
    <row r="239" spans="1:2" x14ac:dyDescent="0.3">
      <c r="A239" t="s">
        <v>1094</v>
      </c>
    </row>
    <row r="240" spans="1:2" x14ac:dyDescent="0.3">
      <c r="A240" t="s">
        <v>145</v>
      </c>
    </row>
    <row r="242" spans="1:1" x14ac:dyDescent="0.3">
      <c r="A242" t="s">
        <v>107</v>
      </c>
    </row>
    <row r="244" spans="1:1" x14ac:dyDescent="0.3">
      <c r="A244" t="s">
        <v>146</v>
      </c>
    </row>
    <row r="246" spans="1:1" x14ac:dyDescent="0.3">
      <c r="A246" t="s">
        <v>147</v>
      </c>
    </row>
    <row r="247" spans="1:1" x14ac:dyDescent="0.3">
      <c r="A247" t="s">
        <v>1028</v>
      </c>
    </row>
    <row r="248" spans="1:1" x14ac:dyDescent="0.3">
      <c r="A248" t="s">
        <v>148</v>
      </c>
    </row>
    <row r="249" spans="1:1" x14ac:dyDescent="0.3">
      <c r="A249" t="s">
        <v>666</v>
      </c>
    </row>
    <row r="250" spans="1:1" x14ac:dyDescent="0.3">
      <c r="A250" t="s">
        <v>1047</v>
      </c>
    </row>
    <row r="251" spans="1:1" x14ac:dyDescent="0.3">
      <c r="A251" t="s">
        <v>667</v>
      </c>
    </row>
    <row r="253" spans="1:1" x14ac:dyDescent="0.3">
      <c r="A253" t="s">
        <v>149</v>
      </c>
    </row>
    <row r="255" spans="1:1" x14ac:dyDescent="0.3">
      <c r="A255" t="s">
        <v>150</v>
      </c>
    </row>
    <row r="257" spans="1:1" x14ac:dyDescent="0.3">
      <c r="A257" t="s">
        <v>151</v>
      </c>
    </row>
    <row r="258" spans="1:1" x14ac:dyDescent="0.3">
      <c r="A258" t="s">
        <v>152</v>
      </c>
    </row>
    <row r="259" spans="1:1" x14ac:dyDescent="0.3">
      <c r="A259" t="s">
        <v>153</v>
      </c>
    </row>
    <row r="260" spans="1:1" x14ac:dyDescent="0.3">
      <c r="A260" t="s">
        <v>154</v>
      </c>
    </row>
    <row r="261" spans="1:1" x14ac:dyDescent="0.3">
      <c r="A261" t="s">
        <v>155</v>
      </c>
    </row>
    <row r="263" spans="1:1" x14ac:dyDescent="0.3">
      <c r="A263" t="s">
        <v>156</v>
      </c>
    </row>
    <row r="265" spans="1:1" x14ac:dyDescent="0.3">
      <c r="A265" t="s">
        <v>157</v>
      </c>
    </row>
    <row r="266" spans="1:1" x14ac:dyDescent="0.3">
      <c r="A266" t="s">
        <v>152</v>
      </c>
    </row>
    <row r="268" spans="1:1" x14ac:dyDescent="0.3">
      <c r="A268" t="s">
        <v>158</v>
      </c>
    </row>
    <row r="270" spans="1:1" x14ac:dyDescent="0.3">
      <c r="A270" t="s">
        <v>159</v>
      </c>
    </row>
    <row r="272" spans="1:1" x14ac:dyDescent="0.3">
      <c r="A272" t="s">
        <v>160</v>
      </c>
    </row>
    <row r="273" spans="1:1" x14ac:dyDescent="0.3">
      <c r="A273" t="s">
        <v>161</v>
      </c>
    </row>
    <row r="274" spans="1:1" x14ac:dyDescent="0.3">
      <c r="A274" t="s">
        <v>162</v>
      </c>
    </row>
    <row r="276" spans="1:1" x14ac:dyDescent="0.3">
      <c r="A276" t="s">
        <v>163</v>
      </c>
    </row>
    <row r="278" spans="1:1" x14ac:dyDescent="0.3">
      <c r="A278" t="s">
        <v>164</v>
      </c>
    </row>
    <row r="280" spans="1:1" x14ac:dyDescent="0.3">
      <c r="A280" t="s">
        <v>165</v>
      </c>
    </row>
    <row r="282" spans="1:1" x14ac:dyDescent="0.3">
      <c r="A282" t="s">
        <v>166</v>
      </c>
    </row>
    <row r="283" spans="1:1" x14ac:dyDescent="0.3">
      <c r="A283" t="s">
        <v>26</v>
      </c>
    </row>
    <row r="284" spans="1:1" x14ac:dyDescent="0.3">
      <c r="A284" t="s">
        <v>167</v>
      </c>
    </row>
    <row r="285" spans="1:1" x14ac:dyDescent="0.3">
      <c r="A285" t="s">
        <v>168</v>
      </c>
    </row>
    <row r="286" spans="1:1" x14ac:dyDescent="0.3">
      <c r="A286" t="s">
        <v>171</v>
      </c>
    </row>
    <row r="287" spans="1:1" x14ac:dyDescent="0.3">
      <c r="A287" t="s">
        <v>1052</v>
      </c>
    </row>
    <row r="288" spans="1:1" x14ac:dyDescent="0.3">
      <c r="A288" t="s">
        <v>1053</v>
      </c>
    </row>
    <row r="289" spans="1:1" x14ac:dyDescent="0.3">
      <c r="A289" t="s">
        <v>169</v>
      </c>
    </row>
    <row r="291" spans="1:1" x14ac:dyDescent="0.3">
      <c r="A291" t="s">
        <v>1054</v>
      </c>
    </row>
    <row r="293" spans="1:1" x14ac:dyDescent="0.3">
      <c r="A293" t="s">
        <v>170</v>
      </c>
    </row>
    <row r="294" spans="1:1" x14ac:dyDescent="0.3">
      <c r="A294" t="s">
        <v>172</v>
      </c>
    </row>
    <row r="295" spans="1:1" x14ac:dyDescent="0.3">
      <c r="A295" t="s">
        <v>173</v>
      </c>
    </row>
    <row r="296" spans="1:1" x14ac:dyDescent="0.3">
      <c r="A296" t="s">
        <v>177</v>
      </c>
    </row>
    <row r="298" spans="1:1" x14ac:dyDescent="0.3">
      <c r="A298" t="s">
        <v>174</v>
      </c>
    </row>
    <row r="300" spans="1:1" x14ac:dyDescent="0.3">
      <c r="A300" t="s">
        <v>175</v>
      </c>
    </row>
    <row r="301" spans="1:1" x14ac:dyDescent="0.3">
      <c r="A301" t="s">
        <v>176</v>
      </c>
    </row>
    <row r="302" spans="1:1" x14ac:dyDescent="0.3">
      <c r="A302" t="s">
        <v>177</v>
      </c>
    </row>
    <row r="303" spans="1:1" x14ac:dyDescent="0.3">
      <c r="A303" t="s">
        <v>178</v>
      </c>
    </row>
    <row r="304" spans="1:1" x14ac:dyDescent="0.3">
      <c r="A304" t="s">
        <v>179</v>
      </c>
    </row>
    <row r="305" spans="1:1" x14ac:dyDescent="0.3">
      <c r="A305" t="s">
        <v>180</v>
      </c>
    </row>
    <row r="306" spans="1:1" x14ac:dyDescent="0.3">
      <c r="A306" t="s">
        <v>181</v>
      </c>
    </row>
    <row r="307" spans="1:1" x14ac:dyDescent="0.3">
      <c r="A307" t="s">
        <v>182</v>
      </c>
    </row>
    <row r="309" spans="1:1" x14ac:dyDescent="0.3">
      <c r="A309" t="s">
        <v>186</v>
      </c>
    </row>
    <row r="311" spans="1:1" x14ac:dyDescent="0.3">
      <c r="A311" t="s">
        <v>187</v>
      </c>
    </row>
    <row r="313" spans="1:1" x14ac:dyDescent="0.3">
      <c r="A313" t="s">
        <v>222</v>
      </c>
    </row>
    <row r="315" spans="1:1" x14ac:dyDescent="0.3">
      <c r="A315" t="s">
        <v>223</v>
      </c>
    </row>
    <row r="317" spans="1:1" x14ac:dyDescent="0.3">
      <c r="A317" t="s">
        <v>183</v>
      </c>
    </row>
    <row r="319" spans="1:1" x14ac:dyDescent="0.3">
      <c r="A319" t="s">
        <v>184</v>
      </c>
    </row>
    <row r="320" spans="1:1" x14ac:dyDescent="0.3">
      <c r="A320" t="s">
        <v>185</v>
      </c>
    </row>
    <row r="322" spans="1:1" x14ac:dyDescent="0.3">
      <c r="A322" t="s">
        <v>1095</v>
      </c>
    </row>
    <row r="323" spans="1:1" x14ac:dyDescent="0.3">
      <c r="A323" t="s">
        <v>188</v>
      </c>
    </row>
    <row r="325" spans="1:1" x14ac:dyDescent="0.3">
      <c r="A325" t="s">
        <v>189</v>
      </c>
    </row>
    <row r="326" spans="1:1" x14ac:dyDescent="0.3">
      <c r="A326" t="s">
        <v>171</v>
      </c>
    </row>
    <row r="327" spans="1:1" x14ac:dyDescent="0.3">
      <c r="A327" t="s">
        <v>190</v>
      </c>
    </row>
    <row r="328" spans="1:1" x14ac:dyDescent="0.3">
      <c r="A328" t="s">
        <v>191</v>
      </c>
    </row>
    <row r="329" spans="1:1" x14ac:dyDescent="0.3">
      <c r="A329" t="s">
        <v>192</v>
      </c>
    </row>
    <row r="330" spans="1:1" x14ac:dyDescent="0.3">
      <c r="A330" t="s">
        <v>193</v>
      </c>
    </row>
    <row r="331" spans="1:1" x14ac:dyDescent="0.3">
      <c r="A331" t="s">
        <v>194</v>
      </c>
    </row>
    <row r="332" spans="1:1" x14ac:dyDescent="0.3">
      <c r="A332" t="s">
        <v>195</v>
      </c>
    </row>
    <row r="334" spans="1:1" x14ac:dyDescent="0.3">
      <c r="A334" t="s">
        <v>196</v>
      </c>
    </row>
    <row r="335" spans="1:1" x14ac:dyDescent="0.3">
      <c r="A335"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1056</v>
      </c>
      <c r="B3" s="85">
        <v>1000</v>
      </c>
    </row>
    <row r="4" spans="1:2" ht="28.8" x14ac:dyDescent="0.3">
      <c r="A4" s="85" t="s">
        <v>1059</v>
      </c>
      <c r="B4" s="85">
        <v>910</v>
      </c>
    </row>
    <row r="5" spans="1:2" x14ac:dyDescent="0.3">
      <c r="A5" s="86" t="s">
        <v>1071</v>
      </c>
      <c r="B5" s="86">
        <v>900</v>
      </c>
    </row>
    <row r="6" spans="1:2" x14ac:dyDescent="0.3">
      <c r="A6" s="86" t="s">
        <v>661</v>
      </c>
      <c r="B6" s="86">
        <v>600</v>
      </c>
    </row>
    <row r="7" spans="1:2" x14ac:dyDescent="0.3">
      <c r="A7" s="85" t="s">
        <v>1072</v>
      </c>
      <c r="B7" s="85">
        <v>500</v>
      </c>
    </row>
    <row r="8" spans="1:2" x14ac:dyDescent="0.3">
      <c r="A8" s="85" t="s">
        <v>1065</v>
      </c>
      <c r="B8" s="85">
        <v>300</v>
      </c>
    </row>
    <row r="9" spans="1:2" x14ac:dyDescent="0.3">
      <c r="A9" s="85" t="s">
        <v>1060</v>
      </c>
      <c r="B9" s="85">
        <v>290</v>
      </c>
    </row>
    <row r="10" spans="1:2" x14ac:dyDescent="0.3">
      <c r="A10" s="86" t="s">
        <v>828</v>
      </c>
      <c r="B10" s="86">
        <v>200</v>
      </c>
    </row>
    <row r="11" spans="1:2" x14ac:dyDescent="0.3">
      <c r="A11" s="86" t="s">
        <v>1046</v>
      </c>
      <c r="B11" s="86">
        <v>200</v>
      </c>
    </row>
    <row r="12" spans="1:2" x14ac:dyDescent="0.3">
      <c r="A12" s="85" t="s">
        <v>1079</v>
      </c>
      <c r="B12" s="85">
        <v>180</v>
      </c>
    </row>
    <row r="13" spans="1:2" x14ac:dyDescent="0.3">
      <c r="A13" s="85" t="s">
        <v>1084</v>
      </c>
      <c r="B13" s="85">
        <v>175</v>
      </c>
    </row>
    <row r="14" spans="1:2" x14ac:dyDescent="0.3">
      <c r="A14" s="86" t="s">
        <v>1061</v>
      </c>
      <c r="B14" s="86">
        <v>160</v>
      </c>
    </row>
    <row r="15" spans="1:2" x14ac:dyDescent="0.3">
      <c r="A15" s="86" t="s">
        <v>1063</v>
      </c>
      <c r="B15" s="86">
        <v>160</v>
      </c>
    </row>
    <row r="16" spans="1:2" x14ac:dyDescent="0.3">
      <c r="A16" s="85" t="s">
        <v>1075</v>
      </c>
      <c r="B16" s="85">
        <v>160</v>
      </c>
    </row>
    <row r="17" spans="1:10" x14ac:dyDescent="0.3">
      <c r="A17" s="85" t="s">
        <v>1081</v>
      </c>
      <c r="B17" s="85">
        <v>160</v>
      </c>
    </row>
    <row r="18" spans="1:10" x14ac:dyDescent="0.3">
      <c r="A18" s="86" t="s">
        <v>1082</v>
      </c>
      <c r="B18" s="86">
        <v>160</v>
      </c>
    </row>
    <row r="19" spans="1:10" x14ac:dyDescent="0.3">
      <c r="A19" s="85" t="s">
        <v>1064</v>
      </c>
      <c r="B19" s="85">
        <v>150</v>
      </c>
    </row>
    <row r="20" spans="1:10" x14ac:dyDescent="0.3">
      <c r="A20" s="86" t="s">
        <v>1073</v>
      </c>
      <c r="B20" s="86">
        <v>150</v>
      </c>
    </row>
    <row r="21" spans="1:10" x14ac:dyDescent="0.3">
      <c r="A21" s="85" t="s">
        <v>1067</v>
      </c>
      <c r="B21" s="85">
        <v>145</v>
      </c>
    </row>
    <row r="22" spans="1:10" x14ac:dyDescent="0.3">
      <c r="A22" s="85" t="s">
        <v>1057</v>
      </c>
      <c r="B22" s="85">
        <v>140</v>
      </c>
    </row>
    <row r="23" spans="1:10" x14ac:dyDescent="0.3">
      <c r="A23" s="86" t="s">
        <v>1037</v>
      </c>
      <c r="B23" s="86">
        <v>130</v>
      </c>
      <c r="C23" s="86" t="s">
        <v>1074</v>
      </c>
    </row>
    <row r="24" spans="1:10" x14ac:dyDescent="0.3">
      <c r="A24" s="85" t="s">
        <v>826</v>
      </c>
      <c r="B24" s="85">
        <v>120</v>
      </c>
    </row>
    <row r="25" spans="1:10" x14ac:dyDescent="0.3">
      <c r="A25" s="85" t="s">
        <v>1077</v>
      </c>
      <c r="B25" s="85">
        <v>120</v>
      </c>
    </row>
    <row r="26" spans="1:10" x14ac:dyDescent="0.3">
      <c r="A26" s="86" t="s">
        <v>1058</v>
      </c>
      <c r="B26" s="86">
        <v>115</v>
      </c>
    </row>
    <row r="27" spans="1:10" x14ac:dyDescent="0.3">
      <c r="A27" s="86" t="s">
        <v>1087</v>
      </c>
      <c r="B27" s="86">
        <v>108</v>
      </c>
    </row>
    <row r="28" spans="1:10" x14ac:dyDescent="0.3">
      <c r="A28" s="86" t="s">
        <v>1085</v>
      </c>
      <c r="B28" s="86">
        <v>100</v>
      </c>
    </row>
    <row r="29" spans="1:10" x14ac:dyDescent="0.3">
      <c r="A29" s="86" t="s">
        <v>1076</v>
      </c>
      <c r="B29" s="86">
        <v>90</v>
      </c>
    </row>
    <row r="30" spans="1:10" x14ac:dyDescent="0.3">
      <c r="A30" s="85" t="s">
        <v>1083</v>
      </c>
      <c r="B30" s="85">
        <v>90</v>
      </c>
    </row>
    <row r="31" spans="1:10" ht="28.8" x14ac:dyDescent="0.3">
      <c r="A31" s="86" t="s">
        <v>1078</v>
      </c>
      <c r="B31" s="86">
        <v>87</v>
      </c>
      <c r="H31">
        <v>11445</v>
      </c>
      <c r="I31">
        <v>3</v>
      </c>
      <c r="J31">
        <f>H31/I31</f>
        <v>3815</v>
      </c>
    </row>
    <row r="32" spans="1:10" x14ac:dyDescent="0.3">
      <c r="A32" s="85" t="s">
        <v>1086</v>
      </c>
      <c r="B32" s="85">
        <v>80</v>
      </c>
      <c r="H32">
        <v>11336</v>
      </c>
      <c r="I32">
        <v>3</v>
      </c>
      <c r="J32">
        <f>H32/I32</f>
        <v>3778.6666666666665</v>
      </c>
    </row>
    <row r="33" spans="1:2" ht="28.8" x14ac:dyDescent="0.3">
      <c r="A33" s="86" t="s">
        <v>1089</v>
      </c>
      <c r="B33" s="86">
        <v>71</v>
      </c>
    </row>
    <row r="34" spans="1:2" x14ac:dyDescent="0.3">
      <c r="A34" s="85" t="s">
        <v>1090</v>
      </c>
      <c r="B34" s="85">
        <v>65</v>
      </c>
    </row>
    <row r="35" spans="1:2" x14ac:dyDescent="0.3">
      <c r="A35" s="85" t="s">
        <v>1070</v>
      </c>
      <c r="B35" s="85">
        <v>60</v>
      </c>
    </row>
    <row r="36" spans="1:2" x14ac:dyDescent="0.3">
      <c r="A36" s="85" t="s">
        <v>1092</v>
      </c>
      <c r="B36" s="85">
        <v>60</v>
      </c>
    </row>
    <row r="37" spans="1:2" ht="28.8" x14ac:dyDescent="0.3">
      <c r="A37" s="86" t="s">
        <v>1089</v>
      </c>
      <c r="B37" s="86">
        <v>45</v>
      </c>
    </row>
    <row r="38" spans="1:2" x14ac:dyDescent="0.3">
      <c r="A38" s="86" t="s">
        <v>1066</v>
      </c>
      <c r="B38" s="86">
        <v>40</v>
      </c>
    </row>
    <row r="39" spans="1:2" x14ac:dyDescent="0.3">
      <c r="A39" s="85" t="s">
        <v>1088</v>
      </c>
      <c r="B39" s="85">
        <v>35</v>
      </c>
    </row>
    <row r="40" spans="1:2" x14ac:dyDescent="0.3">
      <c r="A40" s="85" t="s">
        <v>1062</v>
      </c>
      <c r="B40" s="85">
        <v>34</v>
      </c>
    </row>
    <row r="41" spans="1:2" x14ac:dyDescent="0.3">
      <c r="A41" s="85" t="s">
        <v>1069</v>
      </c>
      <c r="B41" s="85">
        <v>30</v>
      </c>
    </row>
    <row r="42" spans="1:2" ht="28.8" x14ac:dyDescent="0.3">
      <c r="A42" s="86" t="s">
        <v>1080</v>
      </c>
      <c r="B42" s="86">
        <v>20</v>
      </c>
    </row>
    <row r="43" spans="1:2" x14ac:dyDescent="0.3">
      <c r="A43" s="86" t="s">
        <v>1091</v>
      </c>
      <c r="B43" s="86">
        <v>19</v>
      </c>
    </row>
    <row r="44" spans="1:2" x14ac:dyDescent="0.3">
      <c r="A44" s="86" t="s">
        <v>1068</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Z W 7 T 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Z W 7 T 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u 0 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Z W 7 T U L q e M 1 6 n A A A A + A A A A B I A A A A A A A A A A A A A A A A A A A A A A E N v b m Z p Z y 9 Q Y W N r Y W d l L n h t b F B L A Q I t A B Q A A g A I A G V u 0 1 A P y u m r p A A A A O k A A A A T A A A A A A A A A A A A A A A A A P M A A A B b Q 2 9 u d G V u d F 9 U e X B l c 1 0 u e G 1 s U E s B A i 0 A F A A C A A g A Z W 7 T 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x O V Q w M T o 1 M T o w O S 4 1 N j Q 5 M j Q 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F N 0 Y X R 1 c y I g V m F s d W U 9 I n N X Y W l 0 a W 5 n R m 9 y R X h j Z W x S Z W Z y Z X N o I i A v P j x F b n R y e S B U e X B l P S J G a W x s R X J y b 3 J D b 3 V u d C I g V m F s d W U 9 I m w w I i A v P j x F b n R y e S B U e X B l P S J G a W x s R X J y b 3 J D b 2 R l I i B W Y W x 1 Z T 0 i c 1 V u a 2 5 v d 2 4 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E V u d H J 5 I F R 5 c G U 9 I k F k Z G V k V G 9 E Y X R h T W 9 k Z W w i I F Z h b H V l P S J s M C 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C n n B c X z a Y H z f z v h i z W O b l z H p m A B o i V p W z 2 V g S N E G 2 c U A A A A A A 6 A A A A A A g A A I A A A A C 0 B Y 5 s h A z b 8 5 N x Q w P G e f 6 v 5 K h j S 6 + D 0 X q g e o u F L J b r O U A A A A L Q P w y R J s H V F a E m 0 C 1 c 5 y k 3 n o t s g K i 6 Z r P A I 8 I S v X V A S V 0 w D T 9 s I v j J 6 6 8 s R D S j a / y i x j 9 5 p r w f m 1 S Z i F S D V D A 8 V m 6 2 N L W t A O E B g A i W q Y x J k Q A A A A A 0 K W g d y o l T I 6 4 z s P 7 C U U h Y h c c Y v 2 8 u n z c g 1 O w b l u J e s K h v 9 / v n j S M h h 8 q s t o 4 O g v X Q 0 q + i E t S J P R C Z K C m Q z 2 h s = < / 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2020-06-20T03:50:59Z</dcterms:modified>
</cp:coreProperties>
</file>